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1075" windowHeight="10050" tabRatio="905" activeTab="4"/>
  </bookViews>
  <sheets>
    <sheet name="калькуляция 2020" sheetId="51" r:id="rId1"/>
    <sheet name="калькуляция 2019" sheetId="50" r:id="rId2"/>
    <sheet name="тариф" sheetId="34" r:id="rId3"/>
    <sheet name="ТХ дома" sheetId="52" r:id="rId4"/>
    <sheet name="2021" sheetId="53" r:id="rId5"/>
  </sheets>
  <definedNames>
    <definedName name="ВИДЫ_МУП" localSheetId="1">#REF!</definedName>
    <definedName name="ВИДЫ_МУП" localSheetId="0">#REF!</definedName>
    <definedName name="ВИДЫ_МУП">#REF!</definedName>
    <definedName name="_xlnm.Print_Area" localSheetId="1">'калькуляция 2019'!$A$1:$E$126</definedName>
    <definedName name="_xlnm.Print_Area" localSheetId="0">'калькуляция 2020'!$A$1:$E$127</definedName>
    <definedName name="Резервный_фонд" localSheetId="1">#REF!</definedName>
    <definedName name="Резервный_фонд" localSheetId="0">#REF!</definedName>
    <definedName name="Резервный_фонд">#REF!</definedName>
    <definedName name="Система_налогообложения" localSheetId="1">#REF!</definedName>
    <definedName name="Система_налогообложения" localSheetId="0">#REF!</definedName>
    <definedName name="Система_налогообложения">#REF!</definedName>
    <definedName name="Ставка" localSheetId="1">#REF!</definedName>
    <definedName name="Ставка" localSheetId="0">#REF!</definedName>
    <definedName name="Ставка">#REF!</definedName>
  </definedNames>
  <calcPr calcId="144525" refMode="R1C1"/>
</workbook>
</file>

<file path=xl/calcChain.xml><?xml version="1.0" encoding="utf-8"?>
<calcChain xmlns="http://schemas.openxmlformats.org/spreadsheetml/2006/main">
  <c r="D121" i="53" l="1"/>
  <c r="D67" i="53"/>
  <c r="C65" i="53" l="1"/>
  <c r="B90" i="53"/>
  <c r="C90" i="53" s="1"/>
  <c r="B84" i="53"/>
  <c r="C84" i="53" s="1"/>
  <c r="B83" i="53"/>
  <c r="B82" i="53"/>
  <c r="C82" i="53" s="1"/>
  <c r="C60" i="53"/>
  <c r="C72" i="53"/>
  <c r="B72" i="53"/>
  <c r="C67" i="53"/>
  <c r="C77" i="53"/>
  <c r="C66" i="53"/>
  <c r="B67" i="53"/>
  <c r="B64" i="53"/>
  <c r="B60" i="53"/>
  <c r="B51" i="53"/>
  <c r="B46" i="53"/>
  <c r="B41" i="53"/>
  <c r="B36" i="53"/>
  <c r="B30" i="53"/>
  <c r="B25" i="53"/>
  <c r="B21" i="53"/>
  <c r="B22" i="53"/>
  <c r="B23" i="53"/>
  <c r="B24" i="53"/>
  <c r="B26" i="53"/>
  <c r="B27" i="53"/>
  <c r="B28" i="53"/>
  <c r="B29" i="53"/>
  <c r="B20" i="53"/>
  <c r="B35" i="53" l="1"/>
  <c r="B15" i="53" l="1"/>
  <c r="C15" i="53" s="1"/>
  <c r="C10" i="53"/>
  <c r="B10" i="53"/>
  <c r="C122" i="53" l="1"/>
  <c r="D120" i="53"/>
  <c r="D119" i="53"/>
  <c r="D118" i="53"/>
  <c r="D117" i="53"/>
  <c r="D116" i="53"/>
  <c r="D115" i="53"/>
  <c r="D114" i="53"/>
  <c r="D113" i="53"/>
  <c r="D112" i="53"/>
  <c r="D111" i="53"/>
  <c r="D110" i="53"/>
  <c r="D109" i="53"/>
  <c r="D108" i="53"/>
  <c r="D107" i="53"/>
  <c r="D106" i="53"/>
  <c r="D105" i="53"/>
  <c r="D104" i="53"/>
  <c r="D103" i="53"/>
  <c r="D102" i="53"/>
  <c r="D101" i="53" s="1"/>
  <c r="D100" i="53"/>
  <c r="D99" i="53"/>
  <c r="D98" i="53"/>
  <c r="D97" i="53"/>
  <c r="D96" i="53"/>
  <c r="D95" i="53"/>
  <c r="D94" i="53"/>
  <c r="D93" i="53"/>
  <c r="D92" i="53"/>
  <c r="D91" i="53" s="1"/>
  <c r="D84" i="53"/>
  <c r="C83" i="53"/>
  <c r="D82" i="53"/>
  <c r="C80" i="53"/>
  <c r="C78" i="53"/>
  <c r="D77" i="53"/>
  <c r="C74" i="53"/>
  <c r="D74" i="53" s="1"/>
  <c r="C73" i="53"/>
  <c r="D73" i="53" s="1"/>
  <c r="C70" i="53"/>
  <c r="D70" i="53" s="1"/>
  <c r="C69" i="53"/>
  <c r="D69" i="53" s="1"/>
  <c r="C68" i="53"/>
  <c r="D68" i="53" s="1"/>
  <c r="C63" i="53"/>
  <c r="D62" i="53"/>
  <c r="C61" i="53"/>
  <c r="C59" i="53"/>
  <c r="C56" i="53"/>
  <c r="D56" i="53"/>
  <c r="C51" i="53"/>
  <c r="C46" i="53"/>
  <c r="C41" i="53"/>
  <c r="D35" i="53"/>
  <c r="C36" i="53"/>
  <c r="C30" i="53"/>
  <c r="D25" i="53"/>
  <c r="C25" i="53"/>
  <c r="C20" i="53"/>
  <c r="D15" i="53"/>
  <c r="D10" i="53"/>
  <c r="B4" i="53"/>
  <c r="C9" i="53" l="1"/>
  <c r="D9" i="53"/>
  <c r="C75" i="53"/>
  <c r="D75" i="53" s="1"/>
  <c r="C79" i="53"/>
  <c r="B9" i="53"/>
  <c r="C58" i="53"/>
  <c r="C62" i="53"/>
  <c r="D90" i="53"/>
  <c r="D124" i="51"/>
  <c r="D123" i="51"/>
  <c r="C35" i="53" l="1"/>
  <c r="D72" i="53"/>
  <c r="D65" i="53" s="1"/>
  <c r="D83" i="51"/>
  <c r="D71" i="51"/>
  <c r="D74" i="51"/>
  <c r="D73" i="51"/>
  <c r="D72" i="51"/>
  <c r="D69" i="51"/>
  <c r="D68" i="51"/>
  <c r="D67" i="51"/>
  <c r="D36" i="51"/>
  <c r="D66" i="51" l="1"/>
  <c r="G32" i="51"/>
  <c r="H32" i="51" s="1"/>
  <c r="G32" i="50"/>
  <c r="C121" i="53" l="1"/>
  <c r="G33" i="51"/>
  <c r="G34" i="51" s="1"/>
  <c r="H38" i="50"/>
  <c r="H38" i="51"/>
  <c r="G48" i="50"/>
  <c r="G43" i="50"/>
  <c r="G43" i="51" l="1"/>
  <c r="G48" i="51"/>
  <c r="G49" i="51" l="1"/>
  <c r="G44" i="51"/>
  <c r="G45" i="51" s="1"/>
  <c r="H39" i="51"/>
  <c r="H40" i="51" s="1"/>
  <c r="G38" i="51"/>
  <c r="G39" i="51" s="1"/>
  <c r="G40" i="51" s="1"/>
  <c r="G27" i="51"/>
  <c r="G28" i="51" s="1"/>
  <c r="G22" i="51"/>
  <c r="G23" i="51" s="1"/>
  <c r="G24" i="51" s="1"/>
  <c r="I19" i="51"/>
  <c r="I17" i="51"/>
  <c r="H17" i="51"/>
  <c r="H18" i="51" s="1"/>
  <c r="H19" i="51" s="1"/>
  <c r="G17" i="51"/>
  <c r="G18" i="51" s="1"/>
  <c r="G19" i="51" s="1"/>
  <c r="H12" i="51"/>
  <c r="H13" i="51" s="1"/>
  <c r="H14" i="51" s="1"/>
  <c r="G12" i="51"/>
  <c r="G13" i="51" s="1"/>
  <c r="G14" i="51" s="1"/>
  <c r="G22" i="50"/>
  <c r="I17" i="50"/>
  <c r="H17" i="50"/>
  <c r="G17" i="50"/>
  <c r="H12" i="50"/>
  <c r="G12" i="50"/>
  <c r="G79" i="51" l="1"/>
  <c r="G73" i="51"/>
  <c r="G74" i="51" s="1"/>
  <c r="G68" i="51"/>
  <c r="G69" i="51" s="1"/>
  <c r="G54" i="51"/>
  <c r="G55" i="51" s="1"/>
  <c r="G27" i="50"/>
  <c r="H32" i="50" l="1"/>
  <c r="F21" i="34" l="1"/>
  <c r="F52" i="51" l="1"/>
  <c r="F42" i="51"/>
  <c r="F31" i="51"/>
  <c r="F21" i="51"/>
  <c r="G79" i="50"/>
  <c r="F11" i="51" l="1"/>
  <c r="F16" i="51"/>
  <c r="F31" i="34" l="1"/>
  <c r="D31" i="34"/>
  <c r="B31" i="34"/>
  <c r="C13" i="34" l="1"/>
  <c r="C12" i="34" s="1"/>
  <c r="C11" i="34"/>
  <c r="C14" i="34"/>
  <c r="C16" i="34"/>
  <c r="C18" i="34"/>
  <c r="C20" i="34"/>
  <c r="C15" i="34"/>
  <c r="C17" i="34"/>
  <c r="C19" i="34"/>
  <c r="E13" i="34"/>
  <c r="G13" i="34"/>
  <c r="C22" i="34"/>
  <c r="E22" i="34"/>
  <c r="G22" i="34"/>
  <c r="G6" i="34"/>
  <c r="E6" i="34"/>
  <c r="E7" i="34"/>
  <c r="E9" i="34"/>
  <c r="E8" i="34"/>
  <c r="E10" i="34"/>
  <c r="G73" i="50" l="1"/>
  <c r="G74" i="50" s="1"/>
  <c r="G68" i="50"/>
  <c r="D21" i="34"/>
  <c r="F2" i="34" l="1"/>
  <c r="F30" i="34"/>
  <c r="G29" i="34"/>
  <c r="G28" i="34"/>
  <c r="G27" i="34"/>
  <c r="G26" i="34"/>
  <c r="G25" i="34"/>
  <c r="G24" i="34"/>
  <c r="G23" i="34"/>
  <c r="G20" i="34"/>
  <c r="G19" i="34"/>
  <c r="G18" i="34"/>
  <c r="G17" i="34"/>
  <c r="G16" i="34"/>
  <c r="G15" i="34"/>
  <c r="G14" i="34"/>
  <c r="F12" i="34"/>
  <c r="G11" i="34"/>
  <c r="G10" i="34"/>
  <c r="G9" i="34"/>
  <c r="G8" i="34"/>
  <c r="G7" i="34"/>
  <c r="F5" i="34"/>
  <c r="G5" i="34" l="1"/>
  <c r="G12" i="34"/>
  <c r="G21" i="34"/>
  <c r="G30" i="34"/>
  <c r="F77" i="51"/>
  <c r="F78" i="51" s="1"/>
  <c r="F77" i="50"/>
  <c r="B77" i="51" l="1"/>
  <c r="B78" i="51" s="1"/>
  <c r="B77" i="50"/>
  <c r="B78" i="50" s="1"/>
  <c r="F78" i="50"/>
  <c r="D2" i="34" l="1"/>
  <c r="B4" i="50" s="1"/>
  <c r="B2" i="34"/>
  <c r="B4" i="51" s="1"/>
  <c r="F72" i="50" l="1"/>
  <c r="G69" i="50"/>
  <c r="F67" i="50" s="1"/>
  <c r="G54" i="50"/>
  <c r="G55" i="50" s="1"/>
  <c r="G49" i="50"/>
  <c r="F47" i="50" s="1"/>
  <c r="G44" i="50"/>
  <c r="G45" i="50" s="1"/>
  <c r="F42" i="50" s="1"/>
  <c r="H39" i="50"/>
  <c r="H40" i="50" s="1"/>
  <c r="G38" i="50"/>
  <c r="G39" i="50" s="1"/>
  <c r="G40" i="50" s="1"/>
  <c r="G33" i="50"/>
  <c r="G34" i="50" s="1"/>
  <c r="F31" i="50" s="1"/>
  <c r="G28" i="50"/>
  <c r="F26" i="50" s="1"/>
  <c r="G23" i="50"/>
  <c r="G24" i="50" s="1"/>
  <c r="F21" i="50" s="1"/>
  <c r="I19" i="50"/>
  <c r="H18" i="50"/>
  <c r="H19" i="50" s="1"/>
  <c r="G18" i="50"/>
  <c r="G19" i="50" s="1"/>
  <c r="H13" i="50"/>
  <c r="H14" i="50" s="1"/>
  <c r="G13" i="50"/>
  <c r="G14" i="50" s="1"/>
  <c r="F72" i="51"/>
  <c r="B72" i="51" s="1"/>
  <c r="F47" i="51"/>
  <c r="F37" i="51"/>
  <c r="F11" i="50" l="1"/>
  <c r="F16" i="50"/>
  <c r="F17" i="50" s="1"/>
  <c r="F52" i="50"/>
  <c r="F53" i="50" s="1"/>
  <c r="F37" i="50"/>
  <c r="F38" i="50" s="1"/>
  <c r="F73" i="50"/>
  <c r="B72" i="50"/>
  <c r="F48" i="50"/>
  <c r="F43" i="50"/>
  <c r="F12" i="50"/>
  <c r="F73" i="51"/>
  <c r="B67" i="50"/>
  <c r="F68" i="50"/>
  <c r="F38" i="51"/>
  <c r="F53" i="51"/>
  <c r="F27" i="50"/>
  <c r="F43" i="51"/>
  <c r="F48" i="51"/>
  <c r="F22" i="50"/>
  <c r="F32" i="50"/>
  <c r="B73" i="50" l="1"/>
  <c r="F67" i="51"/>
  <c r="F26" i="51"/>
  <c r="F68" i="51" l="1"/>
  <c r="B67" i="51"/>
  <c r="B68" i="51" s="1"/>
  <c r="F27" i="51"/>
  <c r="F32" i="51"/>
  <c r="F22" i="51"/>
  <c r="F17" i="51" l="1"/>
  <c r="F12" i="51" l="1"/>
  <c r="D119" i="51" l="1"/>
  <c r="C121" i="51"/>
  <c r="F60" i="51" s="1"/>
  <c r="B121" i="51"/>
  <c r="G60" i="51" s="1"/>
  <c r="D118" i="51"/>
  <c r="D113" i="51"/>
  <c r="D111" i="51"/>
  <c r="D109" i="51"/>
  <c r="D107" i="51"/>
  <c r="D105" i="51"/>
  <c r="D103" i="51"/>
  <c r="D101" i="51"/>
  <c r="D98" i="51"/>
  <c r="D96" i="51"/>
  <c r="D94" i="51"/>
  <c r="D92" i="51"/>
  <c r="G88" i="51"/>
  <c r="D81" i="51"/>
  <c r="C78" i="51"/>
  <c r="C77" i="51"/>
  <c r="D76" i="51"/>
  <c r="D64" i="51"/>
  <c r="C65" i="51"/>
  <c r="E65" i="51" s="1"/>
  <c r="D62" i="51"/>
  <c r="C61" i="51"/>
  <c r="B60" i="51"/>
  <c r="C60" i="51" s="1"/>
  <c r="D58" i="51"/>
  <c r="D35" i="51" s="1"/>
  <c r="D56" i="51"/>
  <c r="D25" i="51"/>
  <c r="D15" i="51"/>
  <c r="D10" i="51"/>
  <c r="D9" i="51" l="1"/>
  <c r="D91" i="51"/>
  <c r="D93" i="51"/>
  <c r="D95" i="51"/>
  <c r="D97" i="51"/>
  <c r="D99" i="51"/>
  <c r="D102" i="51"/>
  <c r="D104" i="51"/>
  <c r="D106" i="51"/>
  <c r="D108" i="51"/>
  <c r="D110" i="51"/>
  <c r="D112" i="51"/>
  <c r="D117" i="51"/>
  <c r="D114" i="51"/>
  <c r="D116" i="51"/>
  <c r="D115" i="51"/>
  <c r="C68" i="51"/>
  <c r="C67" i="51"/>
  <c r="C72" i="51"/>
  <c r="B73" i="51"/>
  <c r="D100" i="51" l="1"/>
  <c r="D90" i="51"/>
  <c r="C73" i="51"/>
  <c r="C72" i="50"/>
  <c r="C73" i="50"/>
  <c r="D120" i="50"/>
  <c r="D91" i="50" s="1"/>
  <c r="C120" i="50"/>
  <c r="B120" i="50"/>
  <c r="F10" i="50"/>
  <c r="B21" i="34" l="1"/>
  <c r="D103" i="50" l="1"/>
  <c r="D104" i="50"/>
  <c r="D105" i="50"/>
  <c r="D106" i="50"/>
  <c r="D107" i="50"/>
  <c r="D108" i="50"/>
  <c r="D109" i="50"/>
  <c r="D110" i="50"/>
  <c r="D111" i="50"/>
  <c r="D112" i="50"/>
  <c r="D113" i="50"/>
  <c r="D114" i="50"/>
  <c r="D115" i="50"/>
  <c r="D116" i="50"/>
  <c r="D117" i="50"/>
  <c r="D118" i="50"/>
  <c r="D102" i="50"/>
  <c r="D92" i="50"/>
  <c r="D93" i="50"/>
  <c r="D94" i="50"/>
  <c r="D95" i="50"/>
  <c r="D96" i="50"/>
  <c r="D97" i="50"/>
  <c r="D98" i="50"/>
  <c r="D99" i="50"/>
  <c r="D100" i="50"/>
  <c r="D101" i="50" l="1"/>
  <c r="C77" i="50" l="1"/>
  <c r="C78" i="50"/>
  <c r="C67" i="50" l="1"/>
  <c r="B68" i="50" l="1"/>
  <c r="C68" i="50" s="1"/>
  <c r="D5" i="34" l="1"/>
  <c r="F15" i="50"/>
  <c r="F20" i="50"/>
  <c r="F25" i="50"/>
  <c r="F30" i="50"/>
  <c r="E11" i="34"/>
  <c r="D12" i="34"/>
  <c r="F36" i="50"/>
  <c r="E14" i="34"/>
  <c r="F41" i="50" s="1"/>
  <c r="E15" i="34"/>
  <c r="F46" i="50" s="1"/>
  <c r="E16" i="34"/>
  <c r="F51" i="50" s="1"/>
  <c r="E17" i="34"/>
  <c r="F56" i="50" s="1"/>
  <c r="B57" i="50" s="1"/>
  <c r="B56" i="50" s="1"/>
  <c r="E18" i="34"/>
  <c r="E19" i="34"/>
  <c r="E20" i="34"/>
  <c r="F62" i="50" s="1"/>
  <c r="B63" i="50" s="1"/>
  <c r="E23" i="34"/>
  <c r="F66" i="50" s="1"/>
  <c r="F69" i="50" s="1"/>
  <c r="E24" i="34"/>
  <c r="F71" i="50" s="1"/>
  <c r="E25" i="34"/>
  <c r="F76" i="50" s="1"/>
  <c r="E26" i="34"/>
  <c r="F81" i="50" s="1"/>
  <c r="B82" i="50" s="1"/>
  <c r="C82" i="50" s="1"/>
  <c r="E27" i="34"/>
  <c r="F83" i="50" s="1"/>
  <c r="B83" i="50" s="1"/>
  <c r="E28" i="34"/>
  <c r="E29" i="34"/>
  <c r="D30" i="34"/>
  <c r="D32" i="34" s="1"/>
  <c r="B30" i="34"/>
  <c r="B12" i="34"/>
  <c r="B5" i="34"/>
  <c r="E30" i="34" l="1"/>
  <c r="E32" i="34" s="1"/>
  <c r="B46" i="50"/>
  <c r="C46" i="50" s="1"/>
  <c r="F49" i="50"/>
  <c r="B36" i="50"/>
  <c r="C36" i="50" s="1"/>
  <c r="F39" i="50"/>
  <c r="B51" i="50"/>
  <c r="C51" i="50" s="1"/>
  <c r="F54" i="50"/>
  <c r="B41" i="50"/>
  <c r="C41" i="50" s="1"/>
  <c r="F44" i="50"/>
  <c r="F79" i="50"/>
  <c r="B79" i="50" s="1"/>
  <c r="C79" i="50" s="1"/>
  <c r="F74" i="50"/>
  <c r="B74" i="50" s="1"/>
  <c r="B71" i="50" s="1"/>
  <c r="B30" i="50"/>
  <c r="C30" i="50" s="1"/>
  <c r="F33" i="50"/>
  <c r="B20" i="50"/>
  <c r="C20" i="50" s="1"/>
  <c r="F23" i="50"/>
  <c r="B10" i="50"/>
  <c r="C10" i="50" s="1"/>
  <c r="F13" i="50"/>
  <c r="B25" i="50"/>
  <c r="C25" i="50" s="1"/>
  <c r="F28" i="50"/>
  <c r="B15" i="50"/>
  <c r="C15" i="50" s="1"/>
  <c r="F18" i="50"/>
  <c r="B69" i="50"/>
  <c r="C69" i="50" s="1"/>
  <c r="B62" i="50"/>
  <c r="C63" i="50"/>
  <c r="F58" i="50"/>
  <c r="B59" i="50" s="1"/>
  <c r="F89" i="50"/>
  <c r="B89" i="50" s="1"/>
  <c r="E21" i="34"/>
  <c r="E5" i="34"/>
  <c r="E12" i="34"/>
  <c r="B9" i="50" l="1"/>
  <c r="C74" i="50"/>
  <c r="C59" i="50"/>
  <c r="B58" i="50"/>
  <c r="C28" i="34"/>
  <c r="C7" i="34"/>
  <c r="F15" i="51" s="1"/>
  <c r="C8" i="34"/>
  <c r="F20" i="51" s="1"/>
  <c r="C9" i="34"/>
  <c r="F25" i="51" s="1"/>
  <c r="C10" i="34"/>
  <c r="F30" i="51" s="1"/>
  <c r="F36" i="51"/>
  <c r="F41" i="51"/>
  <c r="F46" i="51"/>
  <c r="F51" i="51"/>
  <c r="F56" i="51"/>
  <c r="B57" i="51" s="1"/>
  <c r="B56" i="51" s="1"/>
  <c r="C56" i="51" s="1"/>
  <c r="E56" i="51" s="1"/>
  <c r="F62" i="51"/>
  <c r="B63" i="51" s="1"/>
  <c r="C23" i="34"/>
  <c r="F66" i="51" s="1"/>
  <c r="C24" i="34"/>
  <c r="F71" i="51" s="1"/>
  <c r="C25" i="34"/>
  <c r="F76" i="51" s="1"/>
  <c r="F79" i="51" s="1"/>
  <c r="B79" i="51" s="1"/>
  <c r="C26" i="34"/>
  <c r="F81" i="51" s="1"/>
  <c r="B82" i="51" s="1"/>
  <c r="C27" i="34"/>
  <c r="F83" i="51" s="1"/>
  <c r="B83" i="51" s="1"/>
  <c r="C83" i="51" s="1"/>
  <c r="E83" i="51" s="1"/>
  <c r="C29" i="34"/>
  <c r="C6" i="34"/>
  <c r="F10" i="51" s="1"/>
  <c r="B32" i="34"/>
  <c r="C79" i="51" l="1"/>
  <c r="C76" i="51" s="1"/>
  <c r="E76" i="51" s="1"/>
  <c r="B76" i="51"/>
  <c r="F69" i="51"/>
  <c r="B69" i="51" s="1"/>
  <c r="C82" i="51"/>
  <c r="B81" i="51"/>
  <c r="C81" i="51" s="1"/>
  <c r="E81" i="51" s="1"/>
  <c r="F74" i="51"/>
  <c r="B74" i="51"/>
  <c r="F89" i="51"/>
  <c r="B89" i="51" s="1"/>
  <c r="C89" i="51" s="1"/>
  <c r="C63" i="51"/>
  <c r="B62" i="51"/>
  <c r="C62" i="51" s="1"/>
  <c r="E62" i="51" s="1"/>
  <c r="F58" i="51"/>
  <c r="B59" i="51" s="1"/>
  <c r="B51" i="51"/>
  <c r="C51" i="51" s="1"/>
  <c r="E51" i="51" s="1"/>
  <c r="F54" i="51"/>
  <c r="F44" i="51"/>
  <c r="B41" i="51"/>
  <c r="C41" i="51" s="1"/>
  <c r="E41" i="51" s="1"/>
  <c r="F49" i="51"/>
  <c r="B46" i="51"/>
  <c r="C46" i="51" s="1"/>
  <c r="E46" i="51" s="1"/>
  <c r="F39" i="51"/>
  <c r="B36" i="51"/>
  <c r="F13" i="51"/>
  <c r="B10" i="51"/>
  <c r="F28" i="51"/>
  <c r="B25" i="51"/>
  <c r="C25" i="51" s="1"/>
  <c r="E25" i="51" s="1"/>
  <c r="F18" i="51"/>
  <c r="B15" i="51"/>
  <c r="C15" i="51" s="1"/>
  <c r="E15" i="51" s="1"/>
  <c r="F33" i="51"/>
  <c r="B30" i="51"/>
  <c r="C30" i="51" s="1"/>
  <c r="E30" i="51" s="1"/>
  <c r="F23" i="51"/>
  <c r="B20" i="51"/>
  <c r="C20" i="51" s="1"/>
  <c r="E20" i="51" s="1"/>
  <c r="C5" i="34"/>
  <c r="C30" i="34"/>
  <c r="C32" i="34" s="1"/>
  <c r="C21" i="34"/>
  <c r="G88" i="50"/>
  <c r="D83" i="50"/>
  <c r="D81" i="50"/>
  <c r="B81" i="50"/>
  <c r="D76" i="50"/>
  <c r="C71" i="50"/>
  <c r="E71" i="50" s="1"/>
  <c r="D66" i="50"/>
  <c r="D64" i="50" s="1"/>
  <c r="C65" i="50"/>
  <c r="E65" i="50" s="1"/>
  <c r="D62" i="50"/>
  <c r="C61" i="50"/>
  <c r="F60" i="50"/>
  <c r="B60" i="50"/>
  <c r="D58" i="50"/>
  <c r="D56" i="50"/>
  <c r="D51" i="50"/>
  <c r="E51" i="50" s="1"/>
  <c r="D46" i="50"/>
  <c r="E46" i="50" s="1"/>
  <c r="D41" i="50"/>
  <c r="E41" i="50" s="1"/>
  <c r="D36" i="50"/>
  <c r="E36" i="50" s="1"/>
  <c r="D30" i="50"/>
  <c r="E30" i="50" s="1"/>
  <c r="D25" i="50"/>
  <c r="E25" i="50" s="1"/>
  <c r="D20" i="50"/>
  <c r="E20" i="50" s="1"/>
  <c r="D15" i="50"/>
  <c r="E15" i="50" s="1"/>
  <c r="D10" i="50"/>
  <c r="E89" i="51" l="1"/>
  <c r="D89" i="51"/>
  <c r="D120" i="51" s="1"/>
  <c r="C74" i="51"/>
  <c r="B71" i="51"/>
  <c r="C71" i="51" s="1"/>
  <c r="E71" i="51" s="1"/>
  <c r="C69" i="51"/>
  <c r="C66" i="51" s="1"/>
  <c r="B66" i="51"/>
  <c r="C36" i="51"/>
  <c r="C59" i="51"/>
  <c r="B58" i="51"/>
  <c r="C58" i="51" s="1"/>
  <c r="E58" i="51" s="1"/>
  <c r="C10" i="51"/>
  <c r="B9" i="51"/>
  <c r="C60" i="50"/>
  <c r="B35" i="50"/>
  <c r="D9" i="50"/>
  <c r="E10" i="50"/>
  <c r="C56" i="50"/>
  <c r="E56" i="50" s="1"/>
  <c r="C62" i="50"/>
  <c r="E62" i="50" s="1"/>
  <c r="C81" i="50"/>
  <c r="E81" i="50" s="1"/>
  <c r="D35" i="50"/>
  <c r="B76" i="50"/>
  <c r="C76" i="50"/>
  <c r="E76" i="50" s="1"/>
  <c r="C89" i="50"/>
  <c r="B64" i="51" l="1"/>
  <c r="E66" i="51"/>
  <c r="C64" i="51"/>
  <c r="E64" i="51" s="1"/>
  <c r="B35" i="51"/>
  <c r="E36" i="51"/>
  <c r="C35" i="51"/>
  <c r="E35" i="51" s="1"/>
  <c r="E10" i="51"/>
  <c r="C9" i="51"/>
  <c r="C58" i="50"/>
  <c r="C66" i="50"/>
  <c r="E66" i="50" s="1"/>
  <c r="C83" i="50"/>
  <c r="E83" i="50" s="1"/>
  <c r="C9" i="50"/>
  <c r="E9" i="50" s="1"/>
  <c r="B120" i="51" l="1"/>
  <c r="B122" i="51" s="1"/>
  <c r="E9" i="51"/>
  <c r="C120" i="51"/>
  <c r="C35" i="50"/>
  <c r="E35" i="50" s="1"/>
  <c r="E58" i="50"/>
  <c r="C64" i="50"/>
  <c r="C122" i="51" l="1"/>
  <c r="E120" i="51"/>
  <c r="C119" i="50"/>
  <c r="E64" i="50"/>
  <c r="B66" i="50"/>
  <c r="B64" i="50" l="1"/>
  <c r="B119" i="50" s="1"/>
  <c r="B121" i="50" s="1"/>
  <c r="G60" i="50" s="1"/>
  <c r="C121" i="50"/>
  <c r="D90" i="50"/>
  <c r="D89" i="50" s="1"/>
  <c r="D119" i="50" l="1"/>
  <c r="E89" i="50"/>
  <c r="E119" i="50" l="1"/>
  <c r="D121" i="50"/>
</calcChain>
</file>

<file path=xl/sharedStrings.xml><?xml version="1.0" encoding="utf-8"?>
<sst xmlns="http://schemas.openxmlformats.org/spreadsheetml/2006/main" count="506" uniqueCount="158">
  <si>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</si>
  <si>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</si>
  <si>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</si>
  <si>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</si>
  <si>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</si>
  <si>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</si>
  <si>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</si>
  <si>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</si>
  <si>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</si>
  <si>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</si>
  <si>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</si>
  <si>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</si>
  <si>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</si>
  <si>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</si>
  <si>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</si>
  <si>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</si>
  <si>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</si>
  <si>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</si>
  <si>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</si>
  <si>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</si>
  <si>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</si>
  <si>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</si>
  <si>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</si>
  <si>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</si>
  <si>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</si>
  <si>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</si>
  <si>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</si>
  <si>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</si>
  <si>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</si>
  <si>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</si>
  <si>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</si>
  <si>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</si>
  <si>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</si>
  <si>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</si>
  <si>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</si>
  <si>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</si>
  <si>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</si>
  <si>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</si>
  <si>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</si>
  <si>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</si>
  <si>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</si>
  <si>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</si>
  <si>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</si>
  <si>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</si>
  <si>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</si>
  <si>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</si>
  <si>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</si>
  <si>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</si>
  <si>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</si>
  <si>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</si>
  <si>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</si>
  <si>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</si>
  <si>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</si>
  <si>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</si>
  <si>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</si>
  <si>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</si>
  <si>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</si>
  <si>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</si>
  <si>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</si>
  <si>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</si>
  <si>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</si>
  <si>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</si>
  <si>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</si>
  <si>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</si>
  <si>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</si>
  <si>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</si>
  <si>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</si>
  <si>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</si>
  <si>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</si>
  <si>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</si>
  <si>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</si>
  <si>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</si>
  <si>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IV и V Расходы на управление жилищным фондом и  Общие эксплуатационные расходы</t>
  </si>
  <si>
    <t>Старостюк ИВ.</t>
  </si>
  <si>
    <t xml:space="preserve">Калькуляция себестоимости услуг по содержанию домов, сооружений и придомовых территорий </t>
  </si>
  <si>
    <t>за период с 01.01.2019  по 31.12.2019</t>
  </si>
  <si>
    <t xml:space="preserve">Договор на обслуживание лифтов </t>
  </si>
  <si>
    <t>договор с ГУП РК "Крымэнерго (счет, акт )</t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</si>
  <si>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</si>
  <si>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</si>
  <si>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</si>
  <si>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</si>
  <si>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</si>
  <si>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>мед.осмотр.</t>
  </si>
  <si>
    <r>
      <t>Заработная плата работников общего производства</t>
    </r>
    <r>
      <rPr>
        <sz val="11"/>
        <color indexed="8"/>
        <rFont val="Times New Roman"/>
        <family val="1"/>
        <charset val="204"/>
      </rPr>
      <t xml:space="preserve"> (кладовщик, водители, мастера, инженеры и пр.)</t>
    </r>
  </si>
  <si>
    <t>за период с 01.01.2020  по 31.12.2020</t>
  </si>
  <si>
    <t>Содержание компьютерной техники</t>
  </si>
  <si>
    <t>горюче-смазочные материалы</t>
  </si>
  <si>
    <t>Расходы по организации работ</t>
  </si>
  <si>
    <t>износ и списание МБП</t>
  </si>
  <si>
    <t>содержание пожарной и сторожевой охраны, производственных мастерских</t>
  </si>
  <si>
    <t>подсобный раб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</si>
  <si>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</si>
  <si>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</si>
  <si>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</si>
  <si>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</si>
  <si>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</si>
  <si>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</si>
  <si>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</si>
  <si>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</si>
  <si>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</si>
  <si>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</si>
  <si>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</si>
  <si>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</si>
  <si>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</si>
  <si>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</si>
  <si>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</si>
  <si>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</si>
  <si>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</si>
  <si>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</si>
  <si>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</si>
  <si>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</si>
  <si>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</si>
  <si>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</si>
  <si>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</si>
  <si>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</si>
  <si>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</si>
  <si>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</si>
  <si>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</si>
  <si>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</si>
  <si>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</si>
  <si>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</si>
  <si>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</si>
  <si>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</si>
  <si>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</si>
  <si>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</si>
  <si>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да</t>
  </si>
  <si>
    <t>Площадь квартир с централизованным отоплением</t>
  </si>
  <si>
    <t>Расход  электроэнергии лифтов, кВт, (за прошлый год)</t>
  </si>
  <si>
    <t>Расход электроэнергии МОП, кВт,  (за прошлый год)</t>
  </si>
  <si>
    <t>столяр 3р.</t>
  </si>
  <si>
    <t>штукатур 4р.</t>
  </si>
  <si>
    <t>маляр 3р.</t>
  </si>
  <si>
    <t>маляр 2р.</t>
  </si>
  <si>
    <t>каменщик 3р.</t>
  </si>
  <si>
    <t>плотник 4р.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</si>
  <si>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</si>
  <si>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</si>
  <si>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</si>
  <si>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</si>
  <si>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</si>
  <si>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3.5 Дератизация и дезинсекция мест общего пользования, подвалов</t>
  </si>
  <si>
    <t>Дворник 1р.</t>
  </si>
  <si>
    <t>Уборщик мусоропровода 1р.</t>
  </si>
  <si>
    <t>Заработная плата рабочих (Дворник)</t>
  </si>
  <si>
    <t>Площадь контейнерных площадок, м.кв.</t>
  </si>
  <si>
    <t>1.1 Работы выполняемые в отношении всех видов фундаментов, стен, перекрытий и покрытий, колонн и столбов, балок (ригелей), перекрытий, лестниц, колонн и столбов, балок (ригелей) перекрытий, лестниц</t>
  </si>
  <si>
    <t>Заработная плата рабочих (Уборщик мусоропроводов)</t>
  </si>
  <si>
    <t>Коэфф</t>
  </si>
  <si>
    <t>1.1 Работы выполняемые в отношении всех видов фундаментов, стен, перекрытий и покрытий, колонн и столбов, балок (ригелей), перекрытий, лестниц,колонн и столбов,балок (ригелей) перекрытий, лестниц</t>
  </si>
  <si>
    <t>Красноармейский переулок, 2 1/2</t>
  </si>
  <si>
    <t xml:space="preserve">Отчет по работам и  услугам по содержанию домов, сооружений и придомовых территорий </t>
  </si>
  <si>
    <t>Задолженность населения на 31.12.2020, руб.</t>
  </si>
  <si>
    <t>Оплата населения за 2020 г., руб.</t>
  </si>
  <si>
    <t>Задолженность населения на 31.12.2021, руб.</t>
  </si>
  <si>
    <t>Оплата населения за 2021 г., руб.</t>
  </si>
  <si>
    <t>за период с 01.01.2021  по 31.12.2021, в т.ч. согласно постановления от 07.07.2021 №1926-п</t>
  </si>
  <si>
    <t>2.6 Услуги сторонних организаций (стоимость по договору) обслуживание внутридомомвого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</si>
</sst>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8" fillId="4" borderId="1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7" fillId="0" borderId="0" xfId="0" applyFont="1"/>
    <xf numFmtId="0" fontId="18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20" fillId="0" borderId="0" xfId="0" applyFont="1" applyFill="1" applyBorder="1" applyAlignment="1">
      <alignment horizontal="center" vertical="top" wrapText="1"/>
    </xf>
    <xf numFmtId="166" fontId="19" fillId="0" borderId="0" xfId="0" applyNumberFormat="1" applyFont="1" applyBorder="1"/>
    <xf numFmtId="168" fontId="7" fillId="0" borderId="1" xfId="0" applyNumberFormat="1" applyFont="1" applyBorder="1"/>
    <xf numFmtId="4" fontId="17" fillId="0" borderId="0" xfId="0" applyNumberFormat="1" applyFont="1"/>
    <xf numFmtId="166" fontId="17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4" fontId="0" fillId="0" borderId="1" xfId="0" applyNumberFormat="1" applyBorder="1"/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left" vertical="center" wrapText="1" indent="3"/>
    </xf>
    <xf numFmtId="0" fontId="21" fillId="0" borderId="0" xfId="0" applyFont="1" applyAlignment="1">
      <alignment horizontal="left" wrapText="1" indent="4"/>
    </xf>
    <xf numFmtId="165" fontId="0" fillId="0" borderId="0" xfId="0" applyNumberFormat="1"/>
    <xf numFmtId="169" fontId="0" fillId="0" borderId="0" xfId="0" applyNumberFormat="1"/>
    <xf numFmtId="2" fontId="0" fillId="0" borderId="1" xfId="0" applyNumberForma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2" fontId="22" fillId="0" borderId="1" xfId="0" applyNumberFormat="1" applyFont="1" applyBorder="1"/>
    <xf numFmtId="4" fontId="4" fillId="0" borderId="0" xfId="0" applyNumberFormat="1" applyFont="1"/>
    <xf numFmtId="0" fontId="0" fillId="0" borderId="0" xfId="0" applyBorder="1"/>
    <xf numFmtId="4" fontId="6" fillId="0" borderId="0" xfId="0" applyNumberFormat="1" applyFon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right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/>
    <xf numFmtId="165" fontId="11" fillId="3" borderId="1" xfId="0" applyNumberFormat="1" applyFont="1" applyFill="1" applyBorder="1"/>
    <xf numFmtId="165" fontId="7" fillId="3" borderId="1" xfId="0" applyNumberFormat="1" applyFont="1" applyFill="1" applyBorder="1"/>
    <xf numFmtId="165" fontId="11" fillId="0" borderId="1" xfId="0" applyNumberFormat="1" applyFont="1" applyFill="1" applyBorder="1"/>
    <xf numFmtId="166" fontId="6" fillId="0" borderId="1" xfId="0" applyNumberFormat="1" applyFont="1" applyFill="1" applyBorder="1"/>
    <xf numFmtId="0" fontId="21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/>
    </xf>
    <xf numFmtId="167" fontId="6" fillId="0" borderId="2" xfId="0" applyNumberFormat="1" applyFont="1" applyBorder="1"/>
    <xf numFmtId="0" fontId="6" fillId="0" borderId="1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5" borderId="3" xfId="0" applyFont="1" applyFill="1" applyBorder="1" applyAlignment="1">
      <alignment horizontal="left" vertical="center" wrapText="1" indent="2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/>
    <xf numFmtId="0" fontId="6" fillId="0" borderId="2" xfId="0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6" fontId="17" fillId="0" borderId="1" xfId="0" applyNumberFormat="1" applyFont="1" applyBorder="1"/>
    <xf numFmtId="2" fontId="12" fillId="0" borderId="10" xfId="0" applyNumberFormat="1" applyFont="1" applyBorder="1"/>
    <xf numFmtId="0" fontId="16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opLeftCell="A7" zoomScaleNormal="100" workbookViewId="0">
      <selection activeCell="B10" sqref="B10"/>
    </sheetView>
  </sheetViews>
  <sheetFormatPr defaultRowHeight="15" x14ac:dyDescent="0.25"/>
  <cols>
    <col min="1" max="1" width="68.140625" style="1" customWidth="1"/>
    <col min="2" max="2" width="13" style="2" customWidth="1"/>
    <col min="3" max="3" width="13.28515625" style="2" customWidth="1"/>
    <col min="4" max="4" width="14" style="2" customWidth="1"/>
    <col min="5" max="5" width="20.140625" style="2" customWidth="1"/>
    <col min="6" max="6" width="18.28515625" style="2" customWidth="1"/>
    <col min="7" max="7" width="18.140625" style="1" customWidth="1"/>
    <col min="8" max="8" width="13" style="1" customWidth="1"/>
    <col min="9" max="9" width="10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130" t="s">
        <v>46</v>
      </c>
      <c r="B1" s="130"/>
      <c r="C1" s="130"/>
      <c r="D1" s="130"/>
    </row>
    <row r="2" spans="1:10" ht="25.5" customHeight="1" x14ac:dyDescent="0.25">
      <c r="A2" s="139" t="s">
        <v>151</v>
      </c>
      <c r="B2" s="139"/>
      <c r="C2" s="139"/>
      <c r="D2" s="139"/>
      <c r="E2" s="126"/>
      <c r="F2" s="22"/>
    </row>
    <row r="3" spans="1:10" ht="21.75" customHeight="1" x14ac:dyDescent="0.25">
      <c r="A3" s="138" t="s">
        <v>85</v>
      </c>
      <c r="B3" s="138"/>
      <c r="C3" s="138"/>
      <c r="D3" s="138"/>
      <c r="E3" s="125"/>
      <c r="F3" s="22"/>
    </row>
    <row r="4" spans="1:10" ht="25.5" customHeight="1" x14ac:dyDescent="0.25">
      <c r="A4" s="61" t="s">
        <v>1</v>
      </c>
      <c r="B4" s="136" t="str">
        <f>тариф!B2</f>
        <v>Красноармейский переулок, 2 1/2</v>
      </c>
      <c r="C4" s="137"/>
      <c r="D4" s="137"/>
      <c r="E4" s="124"/>
      <c r="F4" s="27"/>
    </row>
    <row r="5" spans="1:10" ht="25.5" customHeight="1" x14ac:dyDescent="0.25">
      <c r="A5" s="131" t="s">
        <v>30</v>
      </c>
      <c r="B5" s="134" t="s">
        <v>43</v>
      </c>
      <c r="C5" s="135"/>
      <c r="D5" s="54" t="s">
        <v>44</v>
      </c>
      <c r="E5" s="54" t="s">
        <v>68</v>
      </c>
    </row>
    <row r="6" spans="1:10" ht="21.75" customHeight="1" x14ac:dyDescent="0.25">
      <c r="A6" s="132"/>
      <c r="B6" s="26" t="s">
        <v>42</v>
      </c>
      <c r="C6" s="26" t="s">
        <v>41</v>
      </c>
      <c r="D6" s="26" t="s">
        <v>41</v>
      </c>
      <c r="E6" s="26" t="s">
        <v>69</v>
      </c>
      <c r="F6" s="28"/>
      <c r="G6" s="99"/>
    </row>
    <row r="7" spans="1:10" ht="15.75" x14ac:dyDescent="0.25">
      <c r="A7" s="133"/>
      <c r="B7" s="37" t="s">
        <v>33</v>
      </c>
      <c r="C7" s="37" t="s">
        <v>33</v>
      </c>
      <c r="D7" s="37" t="s">
        <v>33</v>
      </c>
      <c r="E7" s="37" t="s">
        <v>33</v>
      </c>
      <c r="F7" s="23"/>
      <c r="G7" s="99"/>
    </row>
    <row r="8" spans="1:10" ht="15.75" x14ac:dyDescent="0.25">
      <c r="A8" s="58">
        <v>1</v>
      </c>
      <c r="B8" s="59">
        <v>2</v>
      </c>
      <c r="C8" s="59">
        <v>3</v>
      </c>
      <c r="D8" s="59">
        <v>4</v>
      </c>
      <c r="E8" s="59">
        <v>5</v>
      </c>
      <c r="F8" s="23"/>
      <c r="G8" s="116" t="s">
        <v>148</v>
      </c>
    </row>
    <row r="9" spans="1:10" ht="17.25" customHeight="1" x14ac:dyDescent="0.25">
      <c r="A9" s="31" t="s">
        <v>2</v>
      </c>
      <c r="B9" s="17">
        <f>B10+B15+B20+B25+B30</f>
        <v>3474.0588800000005</v>
      </c>
      <c r="C9" s="17">
        <f>C10+C15+C20+C25+C30</f>
        <v>41688.706560000006</v>
      </c>
      <c r="D9" s="17">
        <f t="shared" ref="D9" si="0">D10+D15+D20+D25+D30</f>
        <v>26971</v>
      </c>
      <c r="E9" s="17">
        <f>C9-D9</f>
        <v>14717.706560000006</v>
      </c>
      <c r="F9" s="100"/>
      <c r="G9" s="114">
        <v>1.1000000000000001</v>
      </c>
    </row>
    <row r="10" spans="1:10" ht="65.25" customHeight="1" x14ac:dyDescent="0.25">
      <c r="A10" s="33" t="s">
        <v>146</v>
      </c>
      <c r="B10" s="38">
        <f>F10</f>
        <v>306.41524000000004</v>
      </c>
      <c r="C10" s="38">
        <f>B10*12</f>
        <v>3676.9828800000005</v>
      </c>
      <c r="D10" s="38">
        <f>SUM(D11:D14)</f>
        <v>0</v>
      </c>
      <c r="E10" s="17">
        <f>C10-D10</f>
        <v>3676.9828800000005</v>
      </c>
      <c r="F10" s="24">
        <f>тариф!C6</f>
        <v>306.41524000000004</v>
      </c>
      <c r="G10" s="1" t="s">
        <v>134</v>
      </c>
      <c r="H10" s="1" t="s">
        <v>135</v>
      </c>
    </row>
    <row r="11" spans="1:10" ht="16.5" hidden="1" customHeight="1" x14ac:dyDescent="0.25">
      <c r="A11" s="39" t="s">
        <v>35</v>
      </c>
      <c r="B11" s="38"/>
      <c r="C11" s="38"/>
      <c r="D11" s="38"/>
      <c r="E11" s="17"/>
      <c r="F11" s="24">
        <f>G14+H14</f>
        <v>291.6596489988998</v>
      </c>
      <c r="G11" s="20">
        <v>19379</v>
      </c>
      <c r="H11" s="1">
        <v>21085</v>
      </c>
      <c r="J11" s="20"/>
    </row>
    <row r="12" spans="1:10" ht="14.25" hidden="1" customHeight="1" x14ac:dyDescent="0.25">
      <c r="A12" s="39" t="s">
        <v>36</v>
      </c>
      <c r="B12" s="38"/>
      <c r="C12" s="38"/>
      <c r="D12" s="38"/>
      <c r="E12" s="17"/>
      <c r="F12" s="24">
        <f>F11*0.302</f>
        <v>88.081213997667732</v>
      </c>
      <c r="G12" s="75">
        <f>(('ТХ дома'!B7+'ТХ дома'!B28*0.5)*0.0111/1000)*G9</f>
        <v>8.3731906500000022E-2</v>
      </c>
      <c r="H12" s="75">
        <f>(('ТХ дома'!B7+'ТХ дома'!B28*0.5)*0.00539/1000)*G9</f>
        <v>4.0659006849999998E-2</v>
      </c>
      <c r="I12" s="76"/>
    </row>
    <row r="13" spans="1:10" ht="14.25" hidden="1" customHeight="1" x14ac:dyDescent="0.25">
      <c r="A13" s="39" t="s">
        <v>37</v>
      </c>
      <c r="B13" s="38"/>
      <c r="C13" s="38"/>
      <c r="D13" s="38"/>
      <c r="E13" s="17"/>
      <c r="F13" s="98">
        <f>F10-F11-F12</f>
        <v>-73.325622996567489</v>
      </c>
      <c r="G13" s="75">
        <f>G12*0.109</f>
        <v>9.1267778085000022E-3</v>
      </c>
      <c r="H13" s="75">
        <f>H12*0.1339</f>
        <v>5.4442410172149992E-3</v>
      </c>
    </row>
    <row r="14" spans="1:10" ht="14.25" hidden="1" customHeight="1" x14ac:dyDescent="0.25">
      <c r="A14" s="39" t="s">
        <v>0</v>
      </c>
      <c r="B14" s="38"/>
      <c r="C14" s="38"/>
      <c r="D14" s="38"/>
      <c r="E14" s="17"/>
      <c r="F14" s="24"/>
      <c r="G14" s="97">
        <f>G11*G13</f>
        <v>176.86782715092153</v>
      </c>
      <c r="H14" s="97">
        <f>H11*H13</f>
        <v>114.79182184797826</v>
      </c>
    </row>
    <row r="15" spans="1:10" ht="33" customHeight="1" x14ac:dyDescent="0.25">
      <c r="A15" s="33" t="s">
        <v>4</v>
      </c>
      <c r="B15" s="38">
        <f>F15</f>
        <v>1491.4914000000001</v>
      </c>
      <c r="C15" s="38">
        <f>B15*12</f>
        <v>17897.896800000002</v>
      </c>
      <c r="D15" s="38">
        <f>SUM(D16:D19)</f>
        <v>0</v>
      </c>
      <c r="E15" s="17">
        <f>C15-D15</f>
        <v>17897.896800000002</v>
      </c>
      <c r="F15" s="24">
        <f>тариф!C7</f>
        <v>1491.4914000000001</v>
      </c>
      <c r="G15" s="1" t="s">
        <v>131</v>
      </c>
      <c r="H15" s="1" t="s">
        <v>132</v>
      </c>
      <c r="I15" s="1" t="s">
        <v>133</v>
      </c>
    </row>
    <row r="16" spans="1:10" ht="14.25" hidden="1" customHeight="1" x14ac:dyDescent="0.25">
      <c r="A16" s="40" t="s">
        <v>35</v>
      </c>
      <c r="B16" s="38"/>
      <c r="C16" s="38"/>
      <c r="D16" s="38"/>
      <c r="E16" s="17"/>
      <c r="F16" s="2">
        <f>G19+H19</f>
        <v>1041.5082417664</v>
      </c>
      <c r="G16" s="1">
        <v>21085</v>
      </c>
      <c r="H16" s="1">
        <v>19379</v>
      </c>
      <c r="I16" s="1">
        <v>16576</v>
      </c>
    </row>
    <row r="17" spans="1:9" ht="14.25" hidden="1" customHeight="1" x14ac:dyDescent="0.25">
      <c r="A17" s="40" t="s">
        <v>36</v>
      </c>
      <c r="B17" s="38"/>
      <c r="C17" s="38"/>
      <c r="D17" s="38"/>
      <c r="E17" s="17"/>
      <c r="F17" s="24">
        <f>F16*0.302</f>
        <v>314.53548901345277</v>
      </c>
      <c r="G17" s="75">
        <f>(('ТХ дома'!B7+'ТХ дома'!B28*0.5)*0.0018/1000)*G9</f>
        <v>1.3578147E-2</v>
      </c>
      <c r="H17" s="75">
        <f>(('ТХ дома'!B7+'ТХ дома'!B28*0.5)*0.02295/1000)*G9</f>
        <v>0.17312137425000002</v>
      </c>
      <c r="I17" s="75">
        <f>('ТХ дома'!B7+'ТХ дома'!B28*0.5)*0.02295/1000*G9</f>
        <v>0.17312137425000002</v>
      </c>
    </row>
    <row r="18" spans="1:9" ht="14.25" hidden="1" customHeight="1" x14ac:dyDescent="0.25">
      <c r="A18" s="40" t="s">
        <v>37</v>
      </c>
      <c r="B18" s="38"/>
      <c r="C18" s="38"/>
      <c r="D18" s="38"/>
      <c r="E18" s="17"/>
      <c r="F18" s="24">
        <f>F15-F16-F17</f>
        <v>135.4476692201473</v>
      </c>
      <c r="G18" s="75">
        <f>G17*0.5079</f>
        <v>6.8963408613000009E-3</v>
      </c>
      <c r="H18" s="75">
        <f>H17*0.2671</f>
        <v>4.6240719062175008E-2</v>
      </c>
      <c r="I18" s="20"/>
    </row>
    <row r="19" spans="1:9" ht="14.25" hidden="1" customHeight="1" x14ac:dyDescent="0.25">
      <c r="A19" s="40" t="s">
        <v>0</v>
      </c>
      <c r="B19" s="38"/>
      <c r="C19" s="38"/>
      <c r="D19" s="38"/>
      <c r="E19" s="17"/>
      <c r="F19" s="24"/>
      <c r="G19" s="97">
        <f>G16*G18</f>
        <v>145.40934706051053</v>
      </c>
      <c r="H19" s="97">
        <f>H16*H18</f>
        <v>896.09889470588951</v>
      </c>
      <c r="I19" s="77">
        <f>I18/2</f>
        <v>0</v>
      </c>
    </row>
    <row r="20" spans="1:9" ht="48.75" customHeight="1" x14ac:dyDescent="0.25">
      <c r="A20" s="33" t="s">
        <v>5</v>
      </c>
      <c r="B20" s="38">
        <f>F20</f>
        <v>143.56873000000002</v>
      </c>
      <c r="C20" s="38">
        <f>B20*12</f>
        <v>1722.8247600000002</v>
      </c>
      <c r="D20" s="38">
        <v>10233</v>
      </c>
      <c r="E20" s="17">
        <f>C20-D20</f>
        <v>-8510.1752400000005</v>
      </c>
      <c r="F20" s="24">
        <f>тариф!C8</f>
        <v>143.56873000000002</v>
      </c>
      <c r="G20" s="1" t="s">
        <v>130</v>
      </c>
    </row>
    <row r="21" spans="1:9" ht="15.75" hidden="1" x14ac:dyDescent="0.25">
      <c r="A21" s="40" t="s">
        <v>35</v>
      </c>
      <c r="B21" s="38"/>
      <c r="C21" s="38"/>
      <c r="D21" s="38"/>
      <c r="E21" s="17"/>
      <c r="F21" s="2">
        <f>G24</f>
        <v>154.73500914781539</v>
      </c>
      <c r="G21" s="1">
        <v>19379</v>
      </c>
    </row>
    <row r="22" spans="1:9" ht="15.75" hidden="1" x14ac:dyDescent="0.25">
      <c r="A22" s="40" t="s">
        <v>36</v>
      </c>
      <c r="B22" s="38"/>
      <c r="C22" s="38"/>
      <c r="D22" s="38"/>
      <c r="E22" s="17"/>
      <c r="F22" s="24">
        <f>F21*0.302</f>
        <v>46.729972762640244</v>
      </c>
      <c r="G22" s="75">
        <f>(('ТХ дома'!B7+'ТХ дома'!B28*0.5)*0.00888/1000)*G9</f>
        <v>6.6985525200000007E-2</v>
      </c>
    </row>
    <row r="23" spans="1:9" ht="15.75" hidden="1" x14ac:dyDescent="0.25">
      <c r="A23" s="40" t="s">
        <v>37</v>
      </c>
      <c r="B23" s="38"/>
      <c r="C23" s="38"/>
      <c r="D23" s="38"/>
      <c r="E23" s="17"/>
      <c r="F23" s="24">
        <f>F20-F21-F22</f>
        <v>-57.896251910455618</v>
      </c>
      <c r="G23" s="75">
        <f>G22*0.1192</f>
        <v>7.9846746038400012E-3</v>
      </c>
      <c r="H23" s="2"/>
    </row>
    <row r="24" spans="1:9" ht="15.75" hidden="1" x14ac:dyDescent="0.25">
      <c r="A24" s="40" t="s">
        <v>0</v>
      </c>
      <c r="B24" s="38"/>
      <c r="C24" s="38"/>
      <c r="D24" s="38"/>
      <c r="E24" s="17"/>
      <c r="F24" s="24"/>
      <c r="G24" s="97">
        <f>G21*G23</f>
        <v>154.73500914781539</v>
      </c>
    </row>
    <row r="25" spans="1:9" ht="15.75" x14ac:dyDescent="0.25">
      <c r="A25" s="33" t="s">
        <v>6</v>
      </c>
      <c r="B25" s="38">
        <f>F25</f>
        <v>545.86556000000007</v>
      </c>
      <c r="C25" s="38">
        <f>B25*12</f>
        <v>6550.3867200000004</v>
      </c>
      <c r="D25" s="38">
        <f>SUM(D26:D29)</f>
        <v>0</v>
      </c>
      <c r="E25" s="17">
        <f>C25-D25</f>
        <v>6550.3867200000004</v>
      </c>
      <c r="F25" s="24">
        <f>тариф!C9</f>
        <v>545.86556000000007</v>
      </c>
      <c r="G25" s="1" t="s">
        <v>91</v>
      </c>
    </row>
    <row r="26" spans="1:9" ht="15.75" hidden="1" x14ac:dyDescent="0.25">
      <c r="A26" s="40" t="s">
        <v>35</v>
      </c>
      <c r="B26" s="38"/>
      <c r="C26" s="38"/>
      <c r="D26" s="38"/>
      <c r="E26" s="17"/>
      <c r="F26" s="24">
        <f>G28</f>
        <v>304.51718</v>
      </c>
      <c r="G26" s="1">
        <v>12188</v>
      </c>
    </row>
    <row r="27" spans="1:9" ht="15.75" hidden="1" x14ac:dyDescent="0.25">
      <c r="A27" s="40" t="s">
        <v>36</v>
      </c>
      <c r="B27" s="38"/>
      <c r="C27" s="38"/>
      <c r="D27" s="38"/>
      <c r="E27" s="17"/>
      <c r="F27" s="24">
        <f>F26*0.302</f>
        <v>91.964188359999994</v>
      </c>
      <c r="G27" s="75">
        <f>('ТХ дома'!B27*0.0263/1000)</f>
        <v>2.4985E-2</v>
      </c>
    </row>
    <row r="28" spans="1:9" ht="15.75" hidden="1" x14ac:dyDescent="0.25">
      <c r="A28" s="40" t="s">
        <v>37</v>
      </c>
      <c r="B28" s="38"/>
      <c r="C28" s="38"/>
      <c r="D28" s="38"/>
      <c r="E28" s="17"/>
      <c r="F28" s="24">
        <f>F25-F26-F27</f>
        <v>149.3841916400001</v>
      </c>
      <c r="G28" s="97">
        <f>G26*G27</f>
        <v>304.51718</v>
      </c>
      <c r="H28" s="2"/>
    </row>
    <row r="29" spans="1:9" ht="15.75" hidden="1" x14ac:dyDescent="0.25">
      <c r="A29" s="40" t="s">
        <v>0</v>
      </c>
      <c r="B29" s="38"/>
      <c r="C29" s="38"/>
      <c r="D29" s="38"/>
      <c r="E29" s="17"/>
      <c r="F29" s="24"/>
    </row>
    <row r="30" spans="1:9" ht="17.25" customHeight="1" x14ac:dyDescent="0.25">
      <c r="A30" s="33" t="s">
        <v>7</v>
      </c>
      <c r="B30" s="38">
        <f>F30</f>
        <v>986.71795000000009</v>
      </c>
      <c r="C30" s="38">
        <f>B30*12</f>
        <v>11840.615400000001</v>
      </c>
      <c r="D30" s="38">
        <v>16738</v>
      </c>
      <c r="E30" s="17">
        <f>C30-D30</f>
        <v>-4897.3845999999994</v>
      </c>
      <c r="F30" s="24">
        <f>тариф!C10</f>
        <v>986.71795000000009</v>
      </c>
      <c r="G30" s="1" t="s">
        <v>136</v>
      </c>
    </row>
    <row r="31" spans="1:9" ht="15.75" hidden="1" x14ac:dyDescent="0.25">
      <c r="A31" s="40" t="s">
        <v>35</v>
      </c>
      <c r="B31" s="38"/>
      <c r="C31" s="38"/>
      <c r="D31" s="38"/>
      <c r="E31" s="17"/>
      <c r="F31" s="24">
        <f>G34</f>
        <v>257.00439404619982</v>
      </c>
      <c r="G31" s="1">
        <v>19379</v>
      </c>
    </row>
    <row r="32" spans="1:9" ht="15.75" hidden="1" x14ac:dyDescent="0.25">
      <c r="A32" s="40" t="s">
        <v>36</v>
      </c>
      <c r="B32" s="38"/>
      <c r="C32" s="38"/>
      <c r="D32" s="38"/>
      <c r="E32" s="17"/>
      <c r="F32" s="24">
        <f>F31*0.302</f>
        <v>77.615327001952338</v>
      </c>
      <c r="G32" s="75">
        <f>('ТХ дома'!B22/1000*0.0595)*G9</f>
        <v>8.5782697000000019E-2</v>
      </c>
      <c r="H32" s="1">
        <f>G31*G32</f>
        <v>1662.3828851630003</v>
      </c>
    </row>
    <row r="33" spans="1:8" ht="15.75" hidden="1" customHeight="1" x14ac:dyDescent="0.25">
      <c r="A33" s="40" t="s">
        <v>37</v>
      </c>
      <c r="B33" s="38"/>
      <c r="C33" s="38"/>
      <c r="D33" s="38"/>
      <c r="E33" s="17"/>
      <c r="F33" s="24">
        <f>F30-F31-F32</f>
        <v>652.098228951848</v>
      </c>
      <c r="G33" s="75">
        <f>G32*0.1546</f>
        <v>1.3262004956200002E-2</v>
      </c>
      <c r="H33" s="2"/>
    </row>
    <row r="34" spans="1:8" ht="15.75" hidden="1" x14ac:dyDescent="0.25">
      <c r="A34" s="40" t="s">
        <v>0</v>
      </c>
      <c r="B34" s="38"/>
      <c r="C34" s="38"/>
      <c r="D34" s="38"/>
      <c r="E34" s="17"/>
      <c r="F34" s="24"/>
      <c r="G34" s="97">
        <f>G31*G33</f>
        <v>257.00439404619982</v>
      </c>
    </row>
    <row r="35" spans="1:8" ht="31.5" x14ac:dyDescent="0.25">
      <c r="A35" s="31" t="s">
        <v>8</v>
      </c>
      <c r="B35" s="17">
        <f>B36+B41+B46+B51+B56+B58+B60+B62</f>
        <v>9567.8665999999994</v>
      </c>
      <c r="C35" s="17">
        <f t="shared" ref="C35" si="1">C36+C41+C46+C51+C56+C58+C60+C62</f>
        <v>114814.3992</v>
      </c>
      <c r="D35" s="17">
        <f>D36+D41+D46+D51+D56+D58+D60+D62</f>
        <v>51563.03</v>
      </c>
      <c r="E35" s="17">
        <f>C35-D35</f>
        <v>63251.369200000001</v>
      </c>
      <c r="F35" s="100"/>
      <c r="G35" s="100"/>
    </row>
    <row r="36" spans="1:8" ht="31.5" customHeight="1" x14ac:dyDescent="0.25">
      <c r="A36" s="33" t="s">
        <v>9</v>
      </c>
      <c r="B36" s="38">
        <f>F36</f>
        <v>5187.2447499999998</v>
      </c>
      <c r="C36" s="38">
        <f>B36*12</f>
        <v>62246.936999999998</v>
      </c>
      <c r="D36" s="38">
        <f>2360+13075</f>
        <v>15435</v>
      </c>
      <c r="E36" s="17">
        <f>C36-D36</f>
        <v>46811.936999999998</v>
      </c>
      <c r="F36" s="24">
        <f>тариф!C13</f>
        <v>5187.2447499999998</v>
      </c>
      <c r="G36" s="102" t="s">
        <v>137</v>
      </c>
      <c r="H36" s="1" t="s">
        <v>138</v>
      </c>
    </row>
    <row r="37" spans="1:8" ht="15.75" hidden="1" x14ac:dyDescent="0.25">
      <c r="A37" s="40" t="s">
        <v>35</v>
      </c>
      <c r="B37" s="38"/>
      <c r="C37" s="38"/>
      <c r="D37" s="38"/>
      <c r="E37" s="17"/>
      <c r="F37" s="24">
        <f>G40+H40</f>
        <v>3150.2068417271003</v>
      </c>
      <c r="G37" s="1">
        <v>22182</v>
      </c>
      <c r="H37" s="1">
        <v>22182</v>
      </c>
    </row>
    <row r="38" spans="1:8" ht="15.75" hidden="1" x14ac:dyDescent="0.25">
      <c r="A38" s="40" t="s">
        <v>36</v>
      </c>
      <c r="B38" s="38"/>
      <c r="C38" s="38"/>
      <c r="D38" s="38"/>
      <c r="E38" s="17"/>
      <c r="F38" s="24">
        <f>F37*0.302</f>
        <v>951.3624662015842</v>
      </c>
      <c r="G38" s="75">
        <f>'ТХ дома'!B14/325</f>
        <v>0.37538461538461537</v>
      </c>
      <c r="H38" s="75">
        <f>(('ТХ дома'!B7+'ТХ дома'!B28*0.5)*0.01794/1000)*G9</f>
        <v>0.1353288651</v>
      </c>
    </row>
    <row r="39" spans="1:8" ht="15.75" hidden="1" x14ac:dyDescent="0.25">
      <c r="A39" s="40" t="s">
        <v>37</v>
      </c>
      <c r="B39" s="38"/>
      <c r="C39" s="38"/>
      <c r="D39" s="38"/>
      <c r="E39" s="17"/>
      <c r="F39" s="24">
        <f>F36-F37-F38</f>
        <v>1085.6754420713155</v>
      </c>
      <c r="G39" s="75">
        <f>G38*0.312746</f>
        <v>0.11740003692307693</v>
      </c>
      <c r="H39" s="21">
        <f>H38*0.1819</f>
        <v>2.4616320561690001E-2</v>
      </c>
    </row>
    <row r="40" spans="1:8" ht="15.75" hidden="1" x14ac:dyDescent="0.25">
      <c r="A40" s="40" t="s">
        <v>0</v>
      </c>
      <c r="B40" s="38"/>
      <c r="C40" s="38"/>
      <c r="D40" s="38"/>
      <c r="E40" s="17"/>
      <c r="F40" s="24"/>
      <c r="G40" s="97">
        <f>G37*G39</f>
        <v>2604.1676190276926</v>
      </c>
      <c r="H40" s="97">
        <f>H37*H39</f>
        <v>546.03922269940756</v>
      </c>
    </row>
    <row r="41" spans="1:8" ht="18" customHeight="1" x14ac:dyDescent="0.25">
      <c r="A41" s="33" t="s">
        <v>10</v>
      </c>
      <c r="B41" s="38">
        <f>F41</f>
        <v>90.808490000000006</v>
      </c>
      <c r="C41" s="38">
        <f>B41*12</f>
        <v>1089.7018800000001</v>
      </c>
      <c r="D41" s="38">
        <v>5673</v>
      </c>
      <c r="E41" s="17">
        <f>C41-D41</f>
        <v>-4583.2981199999995</v>
      </c>
      <c r="F41" s="24">
        <f>тариф!C14</f>
        <v>90.808490000000006</v>
      </c>
      <c r="G41" s="1" t="s">
        <v>137</v>
      </c>
      <c r="H41" s="1" t="s">
        <v>138</v>
      </c>
    </row>
    <row r="42" spans="1:8" ht="15.75" hidden="1" x14ac:dyDescent="0.25">
      <c r="A42" s="40" t="s">
        <v>35</v>
      </c>
      <c r="B42" s="38"/>
      <c r="C42" s="38"/>
      <c r="D42" s="38"/>
      <c r="E42" s="17"/>
      <c r="F42" s="24">
        <f>G45</f>
        <v>1414.1479853900269</v>
      </c>
      <c r="G42" s="1">
        <v>22182</v>
      </c>
      <c r="H42" s="1">
        <v>22182</v>
      </c>
    </row>
    <row r="43" spans="1:8" ht="14.25" hidden="1" customHeight="1" x14ac:dyDescent="0.25">
      <c r="A43" s="40" t="s">
        <v>36</v>
      </c>
      <c r="B43" s="38"/>
      <c r="C43" s="38"/>
      <c r="D43" s="38"/>
      <c r="E43" s="17"/>
      <c r="F43" s="24">
        <f>F42*0.302</f>
        <v>427.07269158778809</v>
      </c>
      <c r="G43" s="75">
        <f>('ТХ дома'!B7+'ТХ дома'!B28*0.5)/37000*G9</f>
        <v>0.20387608108108107</v>
      </c>
    </row>
    <row r="44" spans="1:8" ht="14.25" hidden="1" customHeight="1" x14ac:dyDescent="0.25">
      <c r="A44" s="40" t="s">
        <v>37</v>
      </c>
      <c r="B44" s="38"/>
      <c r="C44" s="38"/>
      <c r="D44" s="38"/>
      <c r="E44" s="17"/>
      <c r="F44" s="24">
        <f>F41-F42-F43</f>
        <v>-1750.4121869778151</v>
      </c>
      <c r="G44" s="75">
        <f>G43*0.3127</f>
        <v>6.3752050554054043E-2</v>
      </c>
    </row>
    <row r="45" spans="1:8" ht="15.75" hidden="1" x14ac:dyDescent="0.25">
      <c r="A45" s="40" t="s">
        <v>0</v>
      </c>
      <c r="B45" s="38"/>
      <c r="C45" s="38"/>
      <c r="D45" s="38"/>
      <c r="E45" s="17"/>
      <c r="F45" s="24"/>
      <c r="G45" s="77">
        <f>G42*G44</f>
        <v>1414.1479853900269</v>
      </c>
    </row>
    <row r="46" spans="1:8" ht="15.75" x14ac:dyDescent="0.25">
      <c r="A46" s="33" t="s">
        <v>11</v>
      </c>
      <c r="B46" s="38">
        <f>F46</f>
        <v>1972.9285900000002</v>
      </c>
      <c r="C46" s="38">
        <f>B46*12</f>
        <v>23675.143080000002</v>
      </c>
      <c r="D46" s="38">
        <v>2384</v>
      </c>
      <c r="E46" s="17">
        <f>C46-D46</f>
        <v>21291.143080000002</v>
      </c>
      <c r="F46" s="24">
        <f>тариф!C15</f>
        <v>1972.9285900000002</v>
      </c>
      <c r="G46" s="1" t="s">
        <v>139</v>
      </c>
    </row>
    <row r="47" spans="1:8" ht="15.75" hidden="1" x14ac:dyDescent="0.25">
      <c r="A47" s="40" t="s">
        <v>35</v>
      </c>
      <c r="B47" s="38"/>
      <c r="C47" s="38"/>
      <c r="D47" s="38"/>
      <c r="E47" s="17"/>
      <c r="F47" s="24">
        <f>G49</f>
        <v>1169.2590909090909</v>
      </c>
      <c r="G47" s="1">
        <v>21085</v>
      </c>
    </row>
    <row r="48" spans="1:8" ht="15.75" hidden="1" x14ac:dyDescent="0.25">
      <c r="A48" s="40" t="s">
        <v>36</v>
      </c>
      <c r="B48" s="38"/>
      <c r="C48" s="38"/>
      <c r="D48" s="38"/>
      <c r="E48" s="17"/>
      <c r="F48" s="24">
        <f>F47*0.302</f>
        <v>353.11624545454544</v>
      </c>
      <c r="G48" s="75">
        <f>'ТХ дома'!B16/2200</f>
        <v>5.5454545454545458E-2</v>
      </c>
    </row>
    <row r="49" spans="1:7" ht="15.75" hidden="1" x14ac:dyDescent="0.25">
      <c r="A49" s="40" t="s">
        <v>37</v>
      </c>
      <c r="B49" s="38"/>
      <c r="C49" s="38"/>
      <c r="D49" s="38"/>
      <c r="E49" s="17"/>
      <c r="F49" s="24">
        <f>F46-F47-F48</f>
        <v>450.55325363636388</v>
      </c>
      <c r="G49" s="77">
        <f>G47*G48</f>
        <v>1169.2590909090909</v>
      </c>
    </row>
    <row r="50" spans="1:7" ht="15.75" hidden="1" x14ac:dyDescent="0.25">
      <c r="A50" s="40" t="s">
        <v>0</v>
      </c>
      <c r="B50" s="38"/>
      <c r="C50" s="38"/>
      <c r="D50" s="38"/>
      <c r="E50" s="17"/>
      <c r="F50" s="24"/>
    </row>
    <row r="51" spans="1:7" ht="16.5" customHeight="1" x14ac:dyDescent="0.25">
      <c r="A51" s="34" t="s">
        <v>12</v>
      </c>
      <c r="B51" s="38">
        <f>F51</f>
        <v>422.58923000000004</v>
      </c>
      <c r="C51" s="38">
        <f>B51*12</f>
        <v>5071.0707600000005</v>
      </c>
      <c r="D51" s="38">
        <v>2057.9</v>
      </c>
      <c r="E51" s="17">
        <f>C51-D51</f>
        <v>3013.1707600000004</v>
      </c>
      <c r="F51" s="24">
        <f>тариф!C16</f>
        <v>422.58923000000004</v>
      </c>
      <c r="G51" s="1" t="s">
        <v>140</v>
      </c>
    </row>
    <row r="52" spans="1:7" ht="15.75" hidden="1" x14ac:dyDescent="0.25">
      <c r="A52" s="40" t="s">
        <v>70</v>
      </c>
      <c r="B52" s="38"/>
      <c r="C52" s="38"/>
      <c r="D52" s="38"/>
      <c r="E52" s="17"/>
      <c r="F52" s="24">
        <f>G55</f>
        <v>2057.8960000000002</v>
      </c>
      <c r="G52" s="1">
        <v>21085</v>
      </c>
    </row>
    <row r="53" spans="1:7" ht="15.75" hidden="1" x14ac:dyDescent="0.25">
      <c r="A53" s="40" t="s">
        <v>36</v>
      </c>
      <c r="B53" s="38"/>
      <c r="C53" s="38"/>
      <c r="D53" s="38"/>
      <c r="E53" s="17"/>
      <c r="F53" s="24">
        <f>F52*0.302</f>
        <v>621.48459200000002</v>
      </c>
      <c r="G53" s="1">
        <v>1250</v>
      </c>
    </row>
    <row r="54" spans="1:7" ht="15.75" hidden="1" x14ac:dyDescent="0.25">
      <c r="A54" s="40" t="s">
        <v>37</v>
      </c>
      <c r="B54" s="38"/>
      <c r="C54" s="38"/>
      <c r="D54" s="38"/>
      <c r="E54" s="17"/>
      <c r="F54" s="24">
        <f>F51-F52-F53</f>
        <v>-2256.7913619999999</v>
      </c>
      <c r="G54" s="1">
        <f>'ТХ дома'!B12/G53</f>
        <v>9.7600000000000006E-2</v>
      </c>
    </row>
    <row r="55" spans="1:7" ht="15.75" hidden="1" x14ac:dyDescent="0.25">
      <c r="A55" s="40" t="s">
        <v>0</v>
      </c>
      <c r="B55" s="38"/>
      <c r="C55" s="38"/>
      <c r="D55" s="38"/>
      <c r="E55" s="17"/>
      <c r="F55" s="24"/>
      <c r="G55" s="77">
        <f>G52*G54</f>
        <v>2057.8960000000002</v>
      </c>
    </row>
    <row r="56" spans="1:7" ht="31.5" x14ac:dyDescent="0.25">
      <c r="A56" s="33" t="s">
        <v>13</v>
      </c>
      <c r="B56" s="38">
        <f>B57</f>
        <v>0</v>
      </c>
      <c r="C56" s="38">
        <f t="shared" ref="C56:C74" si="2">B56*12</f>
        <v>0</v>
      </c>
      <c r="D56" s="38">
        <f>D57</f>
        <v>0</v>
      </c>
      <c r="E56" s="17">
        <f>C56-D56</f>
        <v>0</v>
      </c>
      <c r="F56" s="24">
        <f>тариф!C17</f>
        <v>0</v>
      </c>
    </row>
    <row r="57" spans="1:7" ht="15.75" hidden="1" x14ac:dyDescent="0.25">
      <c r="A57" s="41" t="s">
        <v>76</v>
      </c>
      <c r="B57" s="38">
        <f>F56</f>
        <v>0</v>
      </c>
      <c r="C57" s="38"/>
      <c r="D57" s="38"/>
      <c r="E57" s="17"/>
      <c r="F57" s="24"/>
    </row>
    <row r="58" spans="1:7" ht="15.75" x14ac:dyDescent="0.25">
      <c r="A58" s="33" t="s">
        <v>71</v>
      </c>
      <c r="B58" s="38">
        <f>B59</f>
        <v>795.46208000000001</v>
      </c>
      <c r="C58" s="38">
        <f t="shared" si="2"/>
        <v>9545.5449599999993</v>
      </c>
      <c r="D58" s="38">
        <f>D59</f>
        <v>13710.13</v>
      </c>
      <c r="E58" s="17">
        <f>C58-D58</f>
        <v>-4164.5850399999999</v>
      </c>
      <c r="F58" s="24">
        <f>тариф!C18+тариф!C19</f>
        <v>795.46208000000001</v>
      </c>
    </row>
    <row r="59" spans="1:7" ht="15.75" x14ac:dyDescent="0.25">
      <c r="A59" s="41" t="s">
        <v>77</v>
      </c>
      <c r="B59" s="38">
        <f>F58</f>
        <v>795.46208000000001</v>
      </c>
      <c r="C59" s="38">
        <f t="shared" si="2"/>
        <v>9545.5449599999993</v>
      </c>
      <c r="D59" s="38">
        <v>13710.13</v>
      </c>
      <c r="E59" s="17"/>
      <c r="F59" s="24"/>
    </row>
    <row r="60" spans="1:7" ht="15.75" hidden="1" x14ac:dyDescent="0.25">
      <c r="A60" s="33" t="s">
        <v>15</v>
      </c>
      <c r="B60" s="38">
        <f>B61</f>
        <v>0</v>
      </c>
      <c r="C60" s="38">
        <f t="shared" si="2"/>
        <v>0</v>
      </c>
      <c r="D60" s="38"/>
      <c r="E60" s="17"/>
      <c r="F60" s="24">
        <f>0.7779*C121</f>
        <v>3946.3644900000004</v>
      </c>
      <c r="G60" s="1">
        <f>0.3917*B121</f>
        <v>1987.13327</v>
      </c>
    </row>
    <row r="61" spans="1:7" ht="31.5" hidden="1" x14ac:dyDescent="0.25">
      <c r="A61" s="41" t="s">
        <v>40</v>
      </c>
      <c r="B61" s="38"/>
      <c r="C61" s="38">
        <f t="shared" si="2"/>
        <v>0</v>
      </c>
      <c r="D61" s="38"/>
      <c r="E61" s="17"/>
      <c r="F61" s="24">
        <v>702.54</v>
      </c>
    </row>
    <row r="62" spans="1:7" ht="18.75" customHeight="1" x14ac:dyDescent="0.25">
      <c r="A62" s="34" t="s">
        <v>16</v>
      </c>
      <c r="B62" s="38">
        <f>B63</f>
        <v>1098.8334600000001</v>
      </c>
      <c r="C62" s="38">
        <f t="shared" si="2"/>
        <v>13186.001520000002</v>
      </c>
      <c r="D62" s="38">
        <f>D63</f>
        <v>12303</v>
      </c>
      <c r="E62" s="17">
        <f>C62-D62</f>
        <v>883.00152000000162</v>
      </c>
      <c r="F62" s="24">
        <f>тариф!C20</f>
        <v>1098.8334600000001</v>
      </c>
    </row>
    <row r="63" spans="1:7" ht="17.25" customHeight="1" x14ac:dyDescent="0.25">
      <c r="A63" s="42" t="s">
        <v>39</v>
      </c>
      <c r="B63" s="38">
        <f>F62</f>
        <v>1098.8334600000001</v>
      </c>
      <c r="C63" s="38">
        <f t="shared" si="2"/>
        <v>13186.001520000002</v>
      </c>
      <c r="D63" s="38">
        <v>12303</v>
      </c>
      <c r="E63" s="17"/>
      <c r="F63" s="24"/>
    </row>
    <row r="64" spans="1:7" ht="31.5" x14ac:dyDescent="0.25">
      <c r="A64" s="31" t="s">
        <v>17</v>
      </c>
      <c r="B64" s="18">
        <f>B65+B66+B71+B76+B81+B83</f>
        <v>16042.664129999999</v>
      </c>
      <c r="C64" s="18">
        <f t="shared" ref="C64:D64" si="3">C65+C66+C71+C76+C81+C83</f>
        <v>192511.96956</v>
      </c>
      <c r="D64" s="18">
        <f t="shared" si="3"/>
        <v>179709.4944</v>
      </c>
      <c r="E64" s="17">
        <f>C64-D64</f>
        <v>12802.475160000002</v>
      </c>
      <c r="F64" s="24"/>
      <c r="G64" s="29"/>
    </row>
    <row r="65" spans="1:7" ht="15.75" x14ac:dyDescent="0.25">
      <c r="A65" s="33" t="s">
        <v>18</v>
      </c>
      <c r="B65" s="50">
        <v>0</v>
      </c>
      <c r="C65" s="38">
        <f t="shared" si="2"/>
        <v>0</v>
      </c>
      <c r="D65" s="38">
        <v>0</v>
      </c>
      <c r="E65" s="17">
        <f t="shared" ref="E65:E71" si="4">C65-D65</f>
        <v>0</v>
      </c>
      <c r="F65" s="24"/>
    </row>
    <row r="66" spans="1:7" ht="18" customHeight="1" x14ac:dyDescent="0.25">
      <c r="A66" s="33" t="s">
        <v>19</v>
      </c>
      <c r="B66" s="38">
        <f>SUM(B67:B70)</f>
        <v>7409.2625499999995</v>
      </c>
      <c r="C66" s="38">
        <f>SUM(C67:C70)</f>
        <v>88911.150599999994</v>
      </c>
      <c r="D66" s="38">
        <f>SUM(D67:D70)</f>
        <v>88911.150599999994</v>
      </c>
      <c r="E66" s="17">
        <f t="shared" si="4"/>
        <v>0</v>
      </c>
      <c r="F66" s="24">
        <f>тариф!C23</f>
        <v>7409.2625500000004</v>
      </c>
      <c r="G66" s="1" t="s">
        <v>142</v>
      </c>
    </row>
    <row r="67" spans="1:7" ht="15.75" x14ac:dyDescent="0.25">
      <c r="A67" s="40" t="s">
        <v>144</v>
      </c>
      <c r="B67" s="38">
        <f>F67</f>
        <v>4875.2</v>
      </c>
      <c r="C67" s="38">
        <f>B67*12</f>
        <v>58502.399999999994</v>
      </c>
      <c r="D67" s="38">
        <f>C67</f>
        <v>58502.399999999994</v>
      </c>
      <c r="E67" s="17"/>
      <c r="F67" s="24">
        <f>G69</f>
        <v>4875.2</v>
      </c>
      <c r="G67" s="1">
        <v>12188</v>
      </c>
    </row>
    <row r="68" spans="1:7" ht="15.75" x14ac:dyDescent="0.25">
      <c r="A68" s="40" t="s">
        <v>36</v>
      </c>
      <c r="B68" s="38">
        <f>B67*0.302</f>
        <v>1472.3103999999998</v>
      </c>
      <c r="C68" s="38">
        <f t="shared" ref="C68:C69" si="5">B68*12</f>
        <v>17667.724799999996</v>
      </c>
      <c r="D68" s="38">
        <f>C68</f>
        <v>17667.724799999996</v>
      </c>
      <c r="E68" s="17"/>
      <c r="F68" s="24">
        <f>F67*0.302</f>
        <v>1472.3103999999998</v>
      </c>
      <c r="G68" s="101">
        <f>'ТХ дома'!B30/5250</f>
        <v>0.4</v>
      </c>
    </row>
    <row r="69" spans="1:7" ht="15.75" x14ac:dyDescent="0.25">
      <c r="A69" s="40" t="s">
        <v>37</v>
      </c>
      <c r="B69" s="38">
        <f>F69</f>
        <v>1061.7521500000007</v>
      </c>
      <c r="C69" s="38">
        <f t="shared" si="5"/>
        <v>12741.025800000009</v>
      </c>
      <c r="D69" s="38">
        <f>C69</f>
        <v>12741.025800000009</v>
      </c>
      <c r="E69" s="17"/>
      <c r="F69" s="24">
        <f>F66-F67-F68</f>
        <v>1061.7521500000007</v>
      </c>
      <c r="G69" s="77">
        <f>G67*G68</f>
        <v>4875.2</v>
      </c>
    </row>
    <row r="70" spans="1:7" ht="15.75" x14ac:dyDescent="0.25">
      <c r="A70" s="40" t="s">
        <v>0</v>
      </c>
      <c r="B70" s="38"/>
      <c r="C70" s="38"/>
      <c r="D70" s="38"/>
      <c r="E70" s="17"/>
      <c r="F70" s="24"/>
    </row>
    <row r="71" spans="1:7" ht="15.75" x14ac:dyDescent="0.25">
      <c r="A71" s="33" t="s">
        <v>20</v>
      </c>
      <c r="B71" s="38">
        <f>SUM(B72:B75)</f>
        <v>385.55560000000003</v>
      </c>
      <c r="C71" s="38">
        <f t="shared" si="2"/>
        <v>4626.6671999999999</v>
      </c>
      <c r="D71" s="38">
        <f>C71</f>
        <v>4626.6671999999999</v>
      </c>
      <c r="E71" s="17">
        <f t="shared" si="4"/>
        <v>0</v>
      </c>
      <c r="F71" s="24">
        <f>тариф!C24</f>
        <v>385.55560000000003</v>
      </c>
      <c r="G71" s="1" t="s">
        <v>142</v>
      </c>
    </row>
    <row r="72" spans="1:7" ht="15.75" x14ac:dyDescent="0.25">
      <c r="A72" s="41" t="s">
        <v>144</v>
      </c>
      <c r="B72" s="38">
        <f>F72</f>
        <v>253.69871244635192</v>
      </c>
      <c r="C72" s="38">
        <f t="shared" si="2"/>
        <v>3044.384549356223</v>
      </c>
      <c r="D72" s="38">
        <f>C72</f>
        <v>3044.384549356223</v>
      </c>
      <c r="E72" s="17"/>
      <c r="F72" s="24">
        <f>G74</f>
        <v>253.69871244635192</v>
      </c>
      <c r="G72" s="1">
        <v>12188</v>
      </c>
    </row>
    <row r="73" spans="1:7" ht="15.75" x14ac:dyDescent="0.25">
      <c r="A73" s="41" t="s">
        <v>36</v>
      </c>
      <c r="B73" s="38">
        <f>B72*0.302</f>
        <v>76.617011158798277</v>
      </c>
      <c r="C73" s="38">
        <f t="shared" si="2"/>
        <v>919.40413390557933</v>
      </c>
      <c r="D73" s="38">
        <f>C73</f>
        <v>919.40413390557933</v>
      </c>
      <c r="E73" s="17"/>
      <c r="F73" s="24">
        <f>F72*0.302</f>
        <v>76.617011158798277</v>
      </c>
      <c r="G73" s="75">
        <f>'ТХ дома'!B40/233</f>
        <v>2.0815450643776823E-2</v>
      </c>
    </row>
    <row r="74" spans="1:7" ht="15.75" x14ac:dyDescent="0.25">
      <c r="A74" s="41" t="s">
        <v>37</v>
      </c>
      <c r="B74" s="38">
        <f>F71-B72-B73</f>
        <v>55.23987639484983</v>
      </c>
      <c r="C74" s="38">
        <f t="shared" si="2"/>
        <v>662.87851673819796</v>
      </c>
      <c r="D74" s="38">
        <f>C74</f>
        <v>662.87851673819796</v>
      </c>
      <c r="E74" s="17"/>
      <c r="F74" s="24">
        <f>F71-F72-F73</f>
        <v>55.23987639484983</v>
      </c>
      <c r="G74" s="77">
        <f>G72*G73</f>
        <v>253.69871244635192</v>
      </c>
    </row>
    <row r="75" spans="1:7" ht="15.75" x14ac:dyDescent="0.25">
      <c r="A75" s="41" t="s">
        <v>0</v>
      </c>
      <c r="B75" s="38"/>
      <c r="C75" s="38"/>
      <c r="D75" s="38"/>
      <c r="E75" s="17"/>
      <c r="F75" s="24"/>
    </row>
    <row r="76" spans="1:7" ht="15.75" x14ac:dyDescent="0.25">
      <c r="A76" s="33" t="s">
        <v>21</v>
      </c>
      <c r="B76" s="38">
        <f>SUM(B77:B80)</f>
        <v>0</v>
      </c>
      <c r="C76" s="38">
        <f>SUM(C77:C80)</f>
        <v>0</v>
      </c>
      <c r="D76" s="38">
        <f>SUM(D77:D80)</f>
        <v>0</v>
      </c>
      <c r="E76" s="17">
        <f>C76-D76</f>
        <v>0</v>
      </c>
      <c r="F76" s="24">
        <f>тариф!C25</f>
        <v>0</v>
      </c>
      <c r="G76" s="1" t="s">
        <v>143</v>
      </c>
    </row>
    <row r="77" spans="1:7" ht="15.75" hidden="1" x14ac:dyDescent="0.25">
      <c r="A77" s="40" t="s">
        <v>147</v>
      </c>
      <c r="B77" s="38">
        <f>F77</f>
        <v>0</v>
      </c>
      <c r="C77" s="38">
        <f>B77*12</f>
        <v>0</v>
      </c>
      <c r="D77" s="38"/>
      <c r="E77" s="17"/>
      <c r="F77" s="24">
        <f>G79</f>
        <v>0</v>
      </c>
      <c r="G77" s="75">
        <v>12188</v>
      </c>
    </row>
    <row r="78" spans="1:7" ht="15.75" hidden="1" x14ac:dyDescent="0.25">
      <c r="A78" s="40" t="s">
        <v>36</v>
      </c>
      <c r="B78" s="38">
        <f>B77*0.302</f>
        <v>0</v>
      </c>
      <c r="C78" s="38">
        <f t="shared" ref="C78:C79" si="6">B78*12</f>
        <v>0</v>
      </c>
      <c r="D78" s="38"/>
      <c r="E78" s="17"/>
      <c r="F78" s="24">
        <f>F77*0.302</f>
        <v>0</v>
      </c>
      <c r="G78" s="75"/>
    </row>
    <row r="79" spans="1:7" ht="15.75" hidden="1" x14ac:dyDescent="0.25">
      <c r="A79" s="40" t="s">
        <v>37</v>
      </c>
      <c r="B79" s="38">
        <f>F79</f>
        <v>0</v>
      </c>
      <c r="C79" s="38">
        <f t="shared" si="6"/>
        <v>0</v>
      </c>
      <c r="D79" s="38"/>
      <c r="E79" s="17"/>
      <c r="F79" s="24">
        <f>F76-F77-F78</f>
        <v>0</v>
      </c>
      <c r="G79" s="20">
        <f>G77*G78</f>
        <v>0</v>
      </c>
    </row>
    <row r="80" spans="1:7" ht="15.75" hidden="1" x14ac:dyDescent="0.25">
      <c r="A80" s="40" t="s">
        <v>0</v>
      </c>
      <c r="B80" s="38"/>
      <c r="C80" s="38"/>
      <c r="D80" s="38"/>
      <c r="E80" s="17"/>
      <c r="F80" s="24"/>
    </row>
    <row r="81" spans="1:7" ht="17.25" customHeight="1" x14ac:dyDescent="0.25">
      <c r="A81" s="33" t="s">
        <v>141</v>
      </c>
      <c r="B81" s="38">
        <f>B82</f>
        <v>1066.87293</v>
      </c>
      <c r="C81" s="38">
        <f t="shared" ref="C81:C89" si="7">B81*12</f>
        <v>12802.47516</v>
      </c>
      <c r="D81" s="38">
        <f>D82</f>
        <v>0</v>
      </c>
      <c r="E81" s="17">
        <f>C81-D81</f>
        <v>12802.47516</v>
      </c>
      <c r="F81" s="24">
        <f>тариф!C26</f>
        <v>1066.87293</v>
      </c>
      <c r="G81" s="20"/>
    </row>
    <row r="82" spans="1:7" ht="17.25" customHeight="1" x14ac:dyDescent="0.25">
      <c r="A82" s="41" t="s">
        <v>39</v>
      </c>
      <c r="B82" s="38">
        <f>F81</f>
        <v>1066.87293</v>
      </c>
      <c r="C82" s="38">
        <f t="shared" si="7"/>
        <v>12802.47516</v>
      </c>
      <c r="D82" s="38">
        <v>0</v>
      </c>
      <c r="E82" s="17"/>
      <c r="F82" s="24"/>
    </row>
    <row r="83" spans="1:7" ht="15.75" x14ac:dyDescent="0.25">
      <c r="A83" s="33" t="s">
        <v>23</v>
      </c>
      <c r="B83" s="38">
        <f>F83</f>
        <v>7180.9730500000005</v>
      </c>
      <c r="C83" s="38">
        <f t="shared" si="7"/>
        <v>86171.676600000006</v>
      </c>
      <c r="D83" s="38">
        <f>C83</f>
        <v>86171.676600000006</v>
      </c>
      <c r="E83" s="17">
        <f>C83-D83</f>
        <v>0</v>
      </c>
      <c r="F83" s="24">
        <f>тариф!C27</f>
        <v>7180.9730500000005</v>
      </c>
    </row>
    <row r="84" spans="1:7" ht="15.75" hidden="1" x14ac:dyDescent="0.25">
      <c r="A84" s="40" t="s">
        <v>35</v>
      </c>
      <c r="B84" s="38"/>
      <c r="C84" s="38"/>
      <c r="D84" s="38"/>
      <c r="E84" s="17"/>
      <c r="F84" s="24"/>
    </row>
    <row r="85" spans="1:7" ht="15.75" hidden="1" x14ac:dyDescent="0.25">
      <c r="A85" s="40" t="s">
        <v>36</v>
      </c>
      <c r="B85" s="38"/>
      <c r="C85" s="38"/>
      <c r="D85" s="38"/>
      <c r="E85" s="17"/>
      <c r="F85" s="24"/>
    </row>
    <row r="86" spans="1:7" ht="15.75" hidden="1" x14ac:dyDescent="0.25">
      <c r="A86" s="40" t="s">
        <v>37</v>
      </c>
      <c r="B86" s="38"/>
      <c r="C86" s="38"/>
      <c r="D86" s="38"/>
      <c r="E86" s="17"/>
      <c r="F86" s="24"/>
    </row>
    <row r="87" spans="1:7" ht="15.75" hidden="1" x14ac:dyDescent="0.25">
      <c r="A87" s="40" t="s">
        <v>0</v>
      </c>
      <c r="B87" s="38"/>
      <c r="C87" s="38"/>
      <c r="D87" s="38"/>
      <c r="E87" s="17"/>
      <c r="F87" s="24"/>
    </row>
    <row r="88" spans="1:7" ht="15.75" hidden="1" x14ac:dyDescent="0.25">
      <c r="A88" s="31" t="s">
        <v>24</v>
      </c>
      <c r="B88" s="17"/>
      <c r="C88" s="17"/>
      <c r="D88" s="17"/>
      <c r="E88" s="17"/>
      <c r="F88" s="24"/>
      <c r="G88" s="1">
        <f>1.1426*B121</f>
        <v>5796.5240600000006</v>
      </c>
    </row>
    <row r="89" spans="1:7" ht="31.5" x14ac:dyDescent="0.25">
      <c r="A89" s="31" t="s">
        <v>72</v>
      </c>
      <c r="B89" s="17">
        <f>F89</f>
        <v>22652.406120000003</v>
      </c>
      <c r="C89" s="17">
        <f t="shared" si="7"/>
        <v>271828.87344000005</v>
      </c>
      <c r="D89" s="17">
        <f>C89</f>
        <v>271828.87344000005</v>
      </c>
      <c r="E89" s="17">
        <f>C89-D89</f>
        <v>0</v>
      </c>
      <c r="F89" s="24">
        <f>тариф!C28+тариф!C29</f>
        <v>22652.406120000003</v>
      </c>
    </row>
    <row r="90" spans="1:7" ht="15.75" hidden="1" x14ac:dyDescent="0.25">
      <c r="A90" s="67" t="s">
        <v>66</v>
      </c>
      <c r="B90" s="17"/>
      <c r="C90" s="17"/>
      <c r="D90" s="17">
        <f>SUM(D91:D99)</f>
        <v>0</v>
      </c>
      <c r="E90" s="17"/>
      <c r="F90" s="24"/>
    </row>
    <row r="91" spans="1:7" ht="28.5" hidden="1" customHeight="1" x14ac:dyDescent="0.25">
      <c r="A91" s="69" t="s">
        <v>78</v>
      </c>
      <c r="B91" s="17"/>
      <c r="C91" s="17"/>
      <c r="D91" s="38">
        <f t="shared" ref="D91:D99" si="8">F91*$D$121*12</f>
        <v>0</v>
      </c>
      <c r="E91" s="17"/>
      <c r="F91" s="53"/>
    </row>
    <row r="92" spans="1:7" ht="15.75" hidden="1" x14ac:dyDescent="0.25">
      <c r="A92" s="69" t="s">
        <v>36</v>
      </c>
      <c r="B92" s="17"/>
      <c r="C92" s="17"/>
      <c r="D92" s="38">
        <f t="shared" si="8"/>
        <v>0</v>
      </c>
      <c r="E92" s="17"/>
      <c r="F92" s="53"/>
    </row>
    <row r="93" spans="1:7" ht="15.75" hidden="1" x14ac:dyDescent="0.25">
      <c r="A93" s="69" t="s">
        <v>49</v>
      </c>
      <c r="B93" s="17"/>
      <c r="C93" s="17"/>
      <c r="D93" s="38">
        <f t="shared" si="8"/>
        <v>0</v>
      </c>
      <c r="E93" s="17"/>
      <c r="F93" s="53"/>
    </row>
    <row r="94" spans="1:7" ht="15.75" hidden="1" x14ac:dyDescent="0.25">
      <c r="A94" s="69" t="s">
        <v>50</v>
      </c>
      <c r="B94" s="17"/>
      <c r="C94" s="17"/>
      <c r="D94" s="38">
        <f t="shared" si="8"/>
        <v>0</v>
      </c>
      <c r="E94" s="17"/>
      <c r="F94" s="53"/>
    </row>
    <row r="95" spans="1:7" ht="15.75" hidden="1" x14ac:dyDescent="0.25">
      <c r="A95" s="69" t="s">
        <v>86</v>
      </c>
      <c r="B95" s="17"/>
      <c r="C95" s="17"/>
      <c r="D95" s="38">
        <f t="shared" si="8"/>
        <v>0</v>
      </c>
      <c r="E95" s="17"/>
      <c r="F95" s="53"/>
    </row>
    <row r="96" spans="1:7" ht="15.75" hidden="1" x14ac:dyDescent="0.25">
      <c r="A96" s="69" t="s">
        <v>51</v>
      </c>
      <c r="B96" s="17"/>
      <c r="C96" s="17"/>
      <c r="D96" s="38">
        <f t="shared" si="8"/>
        <v>0</v>
      </c>
      <c r="E96" s="17"/>
      <c r="F96" s="53"/>
    </row>
    <row r="97" spans="1:6" ht="15.75" hidden="1" x14ac:dyDescent="0.25">
      <c r="A97" s="69" t="s">
        <v>52</v>
      </c>
      <c r="B97" s="17"/>
      <c r="C97" s="17"/>
      <c r="D97" s="38">
        <f t="shared" si="8"/>
        <v>0</v>
      </c>
      <c r="E97" s="17"/>
      <c r="F97" s="53"/>
    </row>
    <row r="98" spans="1:6" ht="15.75" hidden="1" x14ac:dyDescent="0.25">
      <c r="A98" s="69" t="s">
        <v>53</v>
      </c>
      <c r="B98" s="17"/>
      <c r="C98" s="17"/>
      <c r="D98" s="38">
        <f t="shared" si="8"/>
        <v>0</v>
      </c>
      <c r="E98" s="17"/>
      <c r="F98" s="53"/>
    </row>
    <row r="99" spans="1:6" ht="15.75" hidden="1" x14ac:dyDescent="0.25">
      <c r="A99" s="69" t="s">
        <v>0</v>
      </c>
      <c r="B99" s="17"/>
      <c r="C99" s="17"/>
      <c r="D99" s="38">
        <f t="shared" si="8"/>
        <v>0</v>
      </c>
      <c r="E99" s="17"/>
      <c r="F99" s="53"/>
    </row>
    <row r="100" spans="1:6" ht="15.75" hidden="1" x14ac:dyDescent="0.25">
      <c r="A100" s="67" t="s">
        <v>67</v>
      </c>
      <c r="B100" s="17"/>
      <c r="C100" s="17"/>
      <c r="D100" s="17">
        <f>D101+D102+D103+D117+D118+D119+D115</f>
        <v>0</v>
      </c>
      <c r="E100" s="17"/>
      <c r="F100" s="24"/>
    </row>
    <row r="101" spans="1:6" ht="32.25" hidden="1" customHeight="1" x14ac:dyDescent="0.25">
      <c r="A101" s="112" t="s">
        <v>84</v>
      </c>
      <c r="B101" s="17"/>
      <c r="C101" s="17"/>
      <c r="D101" s="38">
        <f t="shared" ref="D101:D113" si="9">F101*$D$121*12</f>
        <v>0</v>
      </c>
      <c r="E101" s="17"/>
      <c r="F101" s="53"/>
    </row>
    <row r="102" spans="1:6" ht="15.75" hidden="1" x14ac:dyDescent="0.25">
      <c r="A102" s="112" t="s">
        <v>36</v>
      </c>
      <c r="B102" s="17"/>
      <c r="C102" s="17"/>
      <c r="D102" s="38">
        <f t="shared" si="9"/>
        <v>0</v>
      </c>
      <c r="E102" s="17"/>
      <c r="F102" s="53"/>
    </row>
    <row r="103" spans="1:6" ht="28.5" hidden="1" x14ac:dyDescent="0.25">
      <c r="A103" s="112" t="s">
        <v>54</v>
      </c>
      <c r="B103" s="17"/>
      <c r="C103" s="17"/>
      <c r="D103" s="38">
        <f t="shared" si="9"/>
        <v>0</v>
      </c>
      <c r="E103" s="17"/>
      <c r="F103" s="53"/>
    </row>
    <row r="104" spans="1:6" ht="15.75" hidden="1" x14ac:dyDescent="0.25">
      <c r="A104" s="111" t="s">
        <v>55</v>
      </c>
      <c r="B104" s="17"/>
      <c r="C104" s="17"/>
      <c r="D104" s="38">
        <f t="shared" si="9"/>
        <v>0</v>
      </c>
      <c r="E104" s="17"/>
      <c r="F104" s="53"/>
    </row>
    <row r="105" spans="1:6" ht="15.75" hidden="1" x14ac:dyDescent="0.25">
      <c r="A105" s="111" t="s">
        <v>56</v>
      </c>
      <c r="B105" s="17"/>
      <c r="C105" s="17"/>
      <c r="D105" s="38">
        <f t="shared" si="9"/>
        <v>0</v>
      </c>
      <c r="E105" s="17"/>
      <c r="F105" s="53"/>
    </row>
    <row r="106" spans="1:6" ht="15.75" hidden="1" x14ac:dyDescent="0.25">
      <c r="A106" s="111" t="s">
        <v>57</v>
      </c>
      <c r="B106" s="17"/>
      <c r="C106" s="17"/>
      <c r="D106" s="38">
        <f t="shared" si="9"/>
        <v>0</v>
      </c>
      <c r="E106" s="17"/>
      <c r="F106" s="53"/>
    </row>
    <row r="107" spans="1:6" ht="15.75" hidden="1" x14ac:dyDescent="0.25">
      <c r="A107" s="111" t="s">
        <v>58</v>
      </c>
      <c r="B107" s="17"/>
      <c r="C107" s="17"/>
      <c r="D107" s="38">
        <f t="shared" si="9"/>
        <v>0</v>
      </c>
      <c r="E107" s="17"/>
      <c r="F107" s="53"/>
    </row>
    <row r="108" spans="1:6" ht="15.75" hidden="1" x14ac:dyDescent="0.25">
      <c r="A108" s="111" t="s">
        <v>59</v>
      </c>
      <c r="B108" s="17"/>
      <c r="C108" s="17"/>
      <c r="D108" s="38">
        <f t="shared" si="9"/>
        <v>0</v>
      </c>
      <c r="E108" s="17"/>
      <c r="F108" s="53"/>
    </row>
    <row r="109" spans="1:6" ht="15.75" hidden="1" x14ac:dyDescent="0.25">
      <c r="A109" s="111" t="s">
        <v>87</v>
      </c>
      <c r="B109" s="17"/>
      <c r="C109" s="17"/>
      <c r="D109" s="38">
        <f t="shared" si="9"/>
        <v>0</v>
      </c>
      <c r="E109" s="17"/>
      <c r="F109" s="53"/>
    </row>
    <row r="110" spans="1:6" ht="15.75" hidden="1" x14ac:dyDescent="0.25">
      <c r="A110" s="111" t="s">
        <v>60</v>
      </c>
      <c r="B110" s="17"/>
      <c r="C110" s="17"/>
      <c r="D110" s="38">
        <f t="shared" si="9"/>
        <v>0</v>
      </c>
      <c r="E110" s="17"/>
      <c r="F110" s="53"/>
    </row>
    <row r="111" spans="1:6" ht="18" hidden="1" customHeight="1" x14ac:dyDescent="0.25">
      <c r="A111" s="72" t="s">
        <v>61</v>
      </c>
      <c r="B111" s="17"/>
      <c r="C111" s="17"/>
      <c r="D111" s="38">
        <f t="shared" si="9"/>
        <v>0</v>
      </c>
      <c r="E111" s="17"/>
      <c r="F111" s="53"/>
    </row>
    <row r="112" spans="1:6" ht="15.75" hidden="1" x14ac:dyDescent="0.25">
      <c r="A112" s="111" t="s">
        <v>62</v>
      </c>
      <c r="B112" s="17"/>
      <c r="C112" s="17"/>
      <c r="D112" s="38">
        <f t="shared" si="9"/>
        <v>0</v>
      </c>
      <c r="E112" s="17"/>
      <c r="F112" s="53"/>
    </row>
    <row r="113" spans="1:7" ht="15.75" hidden="1" x14ac:dyDescent="0.25">
      <c r="A113" s="111" t="s">
        <v>63</v>
      </c>
      <c r="B113" s="17"/>
      <c r="C113" s="17"/>
      <c r="D113" s="38">
        <f t="shared" si="9"/>
        <v>0</v>
      </c>
      <c r="E113" s="17"/>
      <c r="F113" s="53"/>
    </row>
    <row r="114" spans="1:7" ht="15.75" hidden="1" x14ac:dyDescent="0.25">
      <c r="A114" s="111" t="s">
        <v>83</v>
      </c>
      <c r="B114" s="17"/>
      <c r="C114" s="17"/>
      <c r="D114" s="38">
        <f t="shared" ref="D114:D116" si="10">F114*$D$121*12</f>
        <v>0</v>
      </c>
      <c r="E114" s="17"/>
      <c r="F114" s="53"/>
    </row>
    <row r="115" spans="1:7" ht="15.75" hidden="1" x14ac:dyDescent="0.25">
      <c r="A115" s="73" t="s">
        <v>88</v>
      </c>
      <c r="B115" s="17"/>
      <c r="C115" s="17"/>
      <c r="D115" s="38">
        <f t="shared" si="10"/>
        <v>0</v>
      </c>
      <c r="E115" s="17"/>
      <c r="F115" s="53"/>
    </row>
    <row r="116" spans="1:7" ht="15.75" hidden="1" x14ac:dyDescent="0.25">
      <c r="A116" s="111" t="s">
        <v>89</v>
      </c>
      <c r="B116" s="17"/>
      <c r="C116" s="17"/>
      <c r="D116" s="38">
        <f t="shared" si="10"/>
        <v>0</v>
      </c>
      <c r="E116" s="17"/>
      <c r="F116" s="53"/>
    </row>
    <row r="117" spans="1:7" ht="13.5" hidden="1" customHeight="1" x14ac:dyDescent="0.25">
      <c r="A117" s="74" t="s">
        <v>90</v>
      </c>
      <c r="B117" s="17"/>
      <c r="C117" s="17"/>
      <c r="D117" s="38">
        <f>F117*$D$121*12</f>
        <v>0</v>
      </c>
      <c r="E117" s="17"/>
      <c r="F117" s="53"/>
    </row>
    <row r="118" spans="1:7" ht="15.75" hidden="1" x14ac:dyDescent="0.25">
      <c r="A118" s="70" t="s">
        <v>64</v>
      </c>
      <c r="B118" s="17"/>
      <c r="C118" s="17"/>
      <c r="D118" s="38">
        <f>F118*$D$121*12</f>
        <v>0</v>
      </c>
      <c r="E118" s="17"/>
      <c r="F118" s="53"/>
    </row>
    <row r="119" spans="1:7" ht="15.75" hidden="1" x14ac:dyDescent="0.25">
      <c r="A119" s="70" t="s">
        <v>65</v>
      </c>
      <c r="B119" s="17"/>
      <c r="C119" s="17"/>
      <c r="D119" s="38">
        <f>F119*$D$121*12</f>
        <v>0</v>
      </c>
      <c r="E119" s="17"/>
      <c r="F119" s="53"/>
    </row>
    <row r="120" spans="1:7" ht="15.75" x14ac:dyDescent="0.25">
      <c r="A120" s="35" t="s">
        <v>34</v>
      </c>
      <c r="B120" s="19">
        <f>B89+B88+B64+B35+B9</f>
        <v>51736.99573000001</v>
      </c>
      <c r="C120" s="19">
        <f>C89+C88+C64+C35+C9</f>
        <v>620843.94876000006</v>
      </c>
      <c r="D120" s="19">
        <f>D89+D88+D64+D35+D9</f>
        <v>530072.39784000011</v>
      </c>
      <c r="E120" s="17">
        <f>C120-D120</f>
        <v>90771.550919999951</v>
      </c>
      <c r="F120" s="55"/>
      <c r="G120" s="19"/>
    </row>
    <row r="121" spans="1:7" ht="15.75" x14ac:dyDescent="0.25">
      <c r="A121" s="31" t="s">
        <v>27</v>
      </c>
      <c r="B121" s="30">
        <f>тариф!B31</f>
        <v>5073.1000000000004</v>
      </c>
      <c r="C121" s="30">
        <f>тариф!B31</f>
        <v>5073.1000000000004</v>
      </c>
      <c r="D121" s="30"/>
      <c r="E121" s="30"/>
      <c r="F121" s="16"/>
    </row>
    <row r="122" spans="1:7" ht="15.75" x14ac:dyDescent="0.25">
      <c r="A122" s="127" t="s">
        <v>38</v>
      </c>
      <c r="B122" s="44">
        <f>B120/B121</f>
        <v>10.198300000000001</v>
      </c>
      <c r="C122" s="44">
        <f>C120/C121/12</f>
        <v>10.1983</v>
      </c>
      <c r="D122" s="44"/>
      <c r="E122" s="44"/>
      <c r="F122" s="21"/>
    </row>
    <row r="123" spans="1:7" ht="18.75" customHeight="1" thickBot="1" x14ac:dyDescent="0.3">
      <c r="A123" s="127" t="s">
        <v>152</v>
      </c>
      <c r="B123" s="128"/>
      <c r="C123" s="128"/>
      <c r="D123" s="129">
        <f>174390.94+69425.3</f>
        <v>243816.24</v>
      </c>
      <c r="E123" s="129">
        <v>174390.94</v>
      </c>
      <c r="F123" s="21"/>
    </row>
    <row r="124" spans="1:7" ht="18" customHeight="1" x14ac:dyDescent="0.25">
      <c r="A124" s="127" t="s">
        <v>153</v>
      </c>
      <c r="B124" s="128"/>
      <c r="C124" s="128"/>
      <c r="D124" s="17">
        <f>255623.72+305624.52</f>
        <v>561248.24</v>
      </c>
      <c r="E124" s="17">
        <v>255623.72</v>
      </c>
      <c r="F124" s="21"/>
    </row>
    <row r="125" spans="1:7" ht="16.5" customHeight="1" x14ac:dyDescent="0.3">
      <c r="A125" s="48"/>
      <c r="B125" s="1"/>
      <c r="C125" s="49"/>
      <c r="D125" s="49"/>
      <c r="E125" s="49"/>
      <c r="F125" s="1"/>
    </row>
    <row r="126" spans="1:7" ht="15.75" x14ac:dyDescent="0.25">
      <c r="A126" s="32"/>
      <c r="B126" s="51"/>
      <c r="C126" s="51"/>
      <c r="D126" s="51"/>
      <c r="E126" s="51"/>
    </row>
    <row r="127" spans="1:7" ht="15.75" x14ac:dyDescent="0.25">
      <c r="A127" s="15"/>
      <c r="B127" s="47"/>
      <c r="C127" s="47"/>
      <c r="D127" s="47"/>
      <c r="E127" s="47"/>
    </row>
    <row r="128" spans="1:7" ht="15.75" x14ac:dyDescent="0.25">
      <c r="A128" s="32"/>
      <c r="B128" s="51"/>
      <c r="C128" s="51"/>
      <c r="D128" s="51"/>
      <c r="E128" s="51"/>
    </row>
  </sheetData>
  <mergeCells count="6">
    <mergeCell ref="A1:D1"/>
    <mergeCell ref="A5:A7"/>
    <mergeCell ref="B5:C5"/>
    <mergeCell ref="B4:D4"/>
    <mergeCell ref="A3:D3"/>
    <mergeCell ref="A2:D2"/>
  </mergeCells>
  <pageMargins left="0.7" right="0.7" top="0.75" bottom="0.75" header="0.3" footer="0.3"/>
  <pageSetup paperSize="9" scale="7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zoomScaleNormal="100" workbookViewId="0">
      <selection activeCell="A3" sqref="A3:D3"/>
    </sheetView>
  </sheetViews>
  <sheetFormatPr defaultRowHeight="15" x14ac:dyDescent="0.25"/>
  <cols>
    <col min="1" max="1" width="58.42578125" style="1" customWidth="1"/>
    <col min="2" max="2" width="13.140625" style="2" customWidth="1"/>
    <col min="3" max="3" width="12.42578125" style="2" customWidth="1"/>
    <col min="4" max="4" width="14.28515625" style="2" customWidth="1"/>
    <col min="5" max="5" width="20.140625" style="2" customWidth="1"/>
    <col min="6" max="6" width="21" style="2" customWidth="1"/>
    <col min="7" max="7" width="21.5703125" style="1" customWidth="1"/>
    <col min="8" max="8" width="11.5703125" style="1" customWidth="1"/>
    <col min="9" max="9" width="12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36" t="s">
        <v>46</v>
      </c>
    </row>
    <row r="2" spans="1:10" ht="25.5" customHeight="1" x14ac:dyDescent="0.25">
      <c r="A2" s="139" t="s">
        <v>74</v>
      </c>
      <c r="B2" s="139"/>
      <c r="C2" s="139"/>
      <c r="D2" s="139"/>
      <c r="E2" s="139"/>
      <c r="F2" s="22"/>
    </row>
    <row r="3" spans="1:10" ht="24.75" customHeight="1" x14ac:dyDescent="0.25">
      <c r="A3" s="125" t="s">
        <v>75</v>
      </c>
      <c r="B3" s="125"/>
      <c r="C3" s="125"/>
      <c r="D3" s="125"/>
      <c r="E3" s="125"/>
      <c r="F3" s="22"/>
    </row>
    <row r="4" spans="1:10" ht="25.5" customHeight="1" x14ac:dyDescent="0.25">
      <c r="A4" s="61" t="s">
        <v>1</v>
      </c>
      <c r="B4" s="136" t="str">
        <f>тариф!D2</f>
        <v>Красноармейский переулок, 2 1/2</v>
      </c>
      <c r="C4" s="137"/>
      <c r="D4" s="137"/>
      <c r="E4" s="124"/>
      <c r="F4" s="27"/>
    </row>
    <row r="5" spans="1:10" ht="25.5" customHeight="1" x14ac:dyDescent="0.25">
      <c r="A5" s="131" t="s">
        <v>30</v>
      </c>
      <c r="B5" s="134" t="s">
        <v>43</v>
      </c>
      <c r="C5" s="135"/>
      <c r="D5" s="54" t="s">
        <v>44</v>
      </c>
      <c r="E5" s="54" t="s">
        <v>68</v>
      </c>
    </row>
    <row r="6" spans="1:10" ht="21.75" customHeight="1" x14ac:dyDescent="0.25">
      <c r="A6" s="132"/>
      <c r="B6" s="26" t="s">
        <v>42</v>
      </c>
      <c r="C6" s="26" t="s">
        <v>41</v>
      </c>
      <c r="D6" s="26" t="s">
        <v>41</v>
      </c>
      <c r="E6" s="26" t="s">
        <v>69</v>
      </c>
      <c r="F6" s="28"/>
    </row>
    <row r="7" spans="1:10" ht="15.75" x14ac:dyDescent="0.25">
      <c r="A7" s="133"/>
      <c r="B7" s="37" t="s">
        <v>33</v>
      </c>
      <c r="C7" s="37" t="s">
        <v>33</v>
      </c>
      <c r="D7" s="37" t="s">
        <v>33</v>
      </c>
      <c r="E7" s="37" t="s">
        <v>33</v>
      </c>
      <c r="F7" s="23"/>
    </row>
    <row r="8" spans="1:10" ht="15.75" x14ac:dyDescent="0.25">
      <c r="A8" s="58">
        <v>1</v>
      </c>
      <c r="B8" s="59">
        <v>2</v>
      </c>
      <c r="C8" s="59">
        <v>3</v>
      </c>
      <c r="D8" s="59">
        <v>4</v>
      </c>
      <c r="E8" s="59">
        <v>5</v>
      </c>
      <c r="F8" s="23"/>
      <c r="G8" s="116" t="s">
        <v>148</v>
      </c>
    </row>
    <row r="9" spans="1:10" ht="17.25" customHeight="1" x14ac:dyDescent="0.25">
      <c r="A9" s="31" t="s">
        <v>2</v>
      </c>
      <c r="B9" s="17">
        <f>B10+B15+B20+B25+B30</f>
        <v>3474.0588800000005</v>
      </c>
      <c r="C9" s="17">
        <f>C10+C15+C20+C25+C30</f>
        <v>41688.706560000006</v>
      </c>
      <c r="D9" s="17">
        <f t="shared" ref="D9" si="0">D10+D15+D20+D25+D30</f>
        <v>0</v>
      </c>
      <c r="E9" s="17">
        <f>C9-D9</f>
        <v>41688.706560000006</v>
      </c>
      <c r="F9" s="25"/>
      <c r="G9" s="114">
        <v>1.1000000000000001</v>
      </c>
    </row>
    <row r="10" spans="1:10" ht="65.25" customHeight="1" x14ac:dyDescent="0.25">
      <c r="A10" s="33" t="s">
        <v>149</v>
      </c>
      <c r="B10" s="38">
        <f>F10</f>
        <v>306.41524000000004</v>
      </c>
      <c r="C10" s="38">
        <f>B10*12</f>
        <v>3676.9828800000005</v>
      </c>
      <c r="D10" s="38">
        <f>SUM(D11:D14)</f>
        <v>0</v>
      </c>
      <c r="E10" s="17">
        <f>C10-D10</f>
        <v>3676.9828800000005</v>
      </c>
      <c r="F10" s="24">
        <f>тариф!E6</f>
        <v>306.41524000000004</v>
      </c>
      <c r="G10" s="1" t="s">
        <v>134</v>
      </c>
      <c r="H10" s="1" t="s">
        <v>135</v>
      </c>
    </row>
    <row r="11" spans="1:10" ht="15.75" customHeight="1" x14ac:dyDescent="0.25">
      <c r="A11" s="39" t="s">
        <v>35</v>
      </c>
      <c r="B11" s="38"/>
      <c r="C11" s="38"/>
      <c r="D11" s="38"/>
      <c r="E11" s="17"/>
      <c r="F11" s="24">
        <f>G14+H14</f>
        <v>291.6596489988998</v>
      </c>
      <c r="G11" s="20">
        <v>19379</v>
      </c>
      <c r="H11" s="1">
        <v>21085</v>
      </c>
      <c r="J11" s="20"/>
    </row>
    <row r="12" spans="1:10" ht="14.25" customHeight="1" x14ac:dyDescent="0.25">
      <c r="A12" s="39" t="s">
        <v>36</v>
      </c>
      <c r="B12" s="38"/>
      <c r="C12" s="38"/>
      <c r="D12" s="38"/>
      <c r="E12" s="17"/>
      <c r="F12" s="24">
        <f>F11*0.302</f>
        <v>88.081213997667732</v>
      </c>
      <c r="G12" s="75">
        <f>(('ТХ дома'!B7+'ТХ дома'!B28*0.5)*0.0111/1000)*G9</f>
        <v>8.3731906500000022E-2</v>
      </c>
      <c r="H12" s="75">
        <f>(('ТХ дома'!B7+'ТХ дома'!B28*0.5)*0.00539/1000)*G9</f>
        <v>4.0659006849999998E-2</v>
      </c>
      <c r="I12" s="76"/>
    </row>
    <row r="13" spans="1:10" ht="14.25" customHeight="1" x14ac:dyDescent="0.25">
      <c r="A13" s="39" t="s">
        <v>37</v>
      </c>
      <c r="B13" s="38"/>
      <c r="C13" s="38"/>
      <c r="D13" s="38"/>
      <c r="E13" s="17"/>
      <c r="F13" s="24">
        <f>F10-F11-F12</f>
        <v>-73.325622996567489</v>
      </c>
      <c r="G13" s="75">
        <f>G12*0.109</f>
        <v>9.1267778085000022E-3</v>
      </c>
      <c r="H13" s="75">
        <f>H12*0.1339</f>
        <v>5.4442410172149992E-3</v>
      </c>
    </row>
    <row r="14" spans="1:10" ht="14.25" customHeight="1" x14ac:dyDescent="0.25">
      <c r="A14" s="39" t="s">
        <v>0</v>
      </c>
      <c r="B14" s="38"/>
      <c r="C14" s="38"/>
      <c r="D14" s="38"/>
      <c r="E14" s="17"/>
      <c r="F14" s="24"/>
      <c r="G14" s="97">
        <f>G11*G13</f>
        <v>176.86782715092153</v>
      </c>
      <c r="H14" s="97">
        <f>H11*H13</f>
        <v>114.79182184797826</v>
      </c>
    </row>
    <row r="15" spans="1:10" ht="33" customHeight="1" x14ac:dyDescent="0.25">
      <c r="A15" s="33" t="s">
        <v>4</v>
      </c>
      <c r="B15" s="38">
        <f>F15</f>
        <v>1491.4914000000001</v>
      </c>
      <c r="C15" s="38">
        <f>B15*12</f>
        <v>17897.896800000002</v>
      </c>
      <c r="D15" s="38">
        <f>SUM(D16:D19)</f>
        <v>0</v>
      </c>
      <c r="E15" s="17">
        <f>C15-D15</f>
        <v>17897.896800000002</v>
      </c>
      <c r="F15" s="24">
        <f>тариф!E7</f>
        <v>1491.4914000000001</v>
      </c>
      <c r="G15" s="1" t="s">
        <v>131</v>
      </c>
      <c r="H15" s="1" t="s">
        <v>132</v>
      </c>
      <c r="I15" s="1" t="s">
        <v>133</v>
      </c>
    </row>
    <row r="16" spans="1:10" ht="14.25" customHeight="1" x14ac:dyDescent="0.25">
      <c r="A16" s="40" t="s">
        <v>35</v>
      </c>
      <c r="B16" s="38"/>
      <c r="C16" s="38"/>
      <c r="D16" s="38"/>
      <c r="E16" s="17"/>
      <c r="F16" s="2">
        <f>G19+H19</f>
        <v>1041.5082417664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40" t="s">
        <v>36</v>
      </c>
      <c r="B17" s="38"/>
      <c r="C17" s="38"/>
      <c r="D17" s="38"/>
      <c r="E17" s="17"/>
      <c r="F17" s="24">
        <f>F16*0.302</f>
        <v>314.53548901345277</v>
      </c>
      <c r="G17" s="75">
        <f>(('ТХ дома'!B7+'ТХ дома'!B28*0.5)*0.0018/1000)*G9</f>
        <v>1.3578147E-2</v>
      </c>
      <c r="H17" s="75">
        <f>(('ТХ дома'!B7+'ТХ дома'!B28*0.5)*0.02295/1000)*G9</f>
        <v>0.17312137425000002</v>
      </c>
      <c r="I17" s="75">
        <f>('ТХ дома'!B7+'ТХ дома'!B28*0.5)*0.02295/1000*G9</f>
        <v>0.17312137425000002</v>
      </c>
    </row>
    <row r="18" spans="1:9" ht="14.25" customHeight="1" x14ac:dyDescent="0.25">
      <c r="A18" s="40" t="s">
        <v>37</v>
      </c>
      <c r="B18" s="38"/>
      <c r="C18" s="38"/>
      <c r="D18" s="38"/>
      <c r="E18" s="17"/>
      <c r="F18" s="24">
        <f>F15-F16-F17</f>
        <v>135.4476692201473</v>
      </c>
      <c r="G18" s="75">
        <f>G17*0.5079</f>
        <v>6.8963408613000009E-3</v>
      </c>
      <c r="H18" s="75">
        <f>H17*0.2671</f>
        <v>4.6240719062175008E-2</v>
      </c>
      <c r="I18" s="20"/>
    </row>
    <row r="19" spans="1:9" ht="14.25" customHeight="1" x14ac:dyDescent="0.25">
      <c r="A19" s="40" t="s">
        <v>0</v>
      </c>
      <c r="B19" s="38"/>
      <c r="C19" s="38"/>
      <c r="D19" s="38"/>
      <c r="E19" s="17"/>
      <c r="F19" s="24"/>
      <c r="G19" s="97">
        <f>G16*G18</f>
        <v>145.40934706051053</v>
      </c>
      <c r="H19" s="97">
        <f>H16*H18</f>
        <v>896.09889470588951</v>
      </c>
      <c r="I19" s="77">
        <f>I18/2</f>
        <v>0</v>
      </c>
    </row>
    <row r="20" spans="1:9" ht="48.75" customHeight="1" x14ac:dyDescent="0.25">
      <c r="A20" s="33" t="s">
        <v>5</v>
      </c>
      <c r="B20" s="38">
        <f>F20</f>
        <v>143.56873000000002</v>
      </c>
      <c r="C20" s="38">
        <f>B20*12</f>
        <v>1722.8247600000002</v>
      </c>
      <c r="D20" s="38">
        <f>SUM(D21:D24)</f>
        <v>0</v>
      </c>
      <c r="E20" s="17">
        <f>C20-D20</f>
        <v>1722.8247600000002</v>
      </c>
      <c r="F20" s="24">
        <f>тариф!E8</f>
        <v>143.56873000000002</v>
      </c>
      <c r="G20" s="1" t="s">
        <v>130</v>
      </c>
    </row>
    <row r="21" spans="1:9" ht="15.75" x14ac:dyDescent="0.25">
      <c r="A21" s="40" t="s">
        <v>35</v>
      </c>
      <c r="B21" s="38"/>
      <c r="C21" s="38"/>
      <c r="D21" s="38"/>
      <c r="E21" s="17"/>
      <c r="F21" s="2">
        <f>G24</f>
        <v>154.73500914781539</v>
      </c>
      <c r="G21" s="1">
        <v>19379</v>
      </c>
    </row>
    <row r="22" spans="1:9" ht="15.75" x14ac:dyDescent="0.25">
      <c r="A22" s="40" t="s">
        <v>36</v>
      </c>
      <c r="B22" s="38"/>
      <c r="C22" s="38"/>
      <c r="D22" s="38"/>
      <c r="E22" s="17"/>
      <c r="F22" s="24">
        <f>F21*0.302</f>
        <v>46.729972762640244</v>
      </c>
      <c r="G22" s="75">
        <f>(('ТХ дома'!B7+'ТХ дома'!B28*0.5)*0.00888/1000)*G9</f>
        <v>6.6985525200000007E-2</v>
      </c>
    </row>
    <row r="23" spans="1:9" ht="15.75" x14ac:dyDescent="0.25">
      <c r="A23" s="40" t="s">
        <v>37</v>
      </c>
      <c r="B23" s="38"/>
      <c r="C23" s="38"/>
      <c r="D23" s="38"/>
      <c r="E23" s="17"/>
      <c r="F23" s="24">
        <f>F20-F21-F22</f>
        <v>-57.896251910455618</v>
      </c>
      <c r="G23" s="75">
        <f>G22*0.1192</f>
        <v>7.9846746038400012E-3</v>
      </c>
      <c r="H23" s="2"/>
    </row>
    <row r="24" spans="1:9" ht="15.75" x14ac:dyDescent="0.25">
      <c r="A24" s="40" t="s">
        <v>0</v>
      </c>
      <c r="B24" s="38"/>
      <c r="C24" s="38"/>
      <c r="D24" s="38"/>
      <c r="E24" s="17"/>
      <c r="F24" s="24"/>
      <c r="G24" s="97">
        <f>G21*G23</f>
        <v>154.73500914781539</v>
      </c>
    </row>
    <row r="25" spans="1:9" ht="15.75" x14ac:dyDescent="0.25">
      <c r="A25" s="33" t="s">
        <v>6</v>
      </c>
      <c r="B25" s="38">
        <f>F25</f>
        <v>545.86556000000007</v>
      </c>
      <c r="C25" s="38">
        <f>B25*12</f>
        <v>6550.3867200000004</v>
      </c>
      <c r="D25" s="38">
        <f>SUM(D26:D29)</f>
        <v>0</v>
      </c>
      <c r="E25" s="17">
        <f>C25-D25</f>
        <v>6550.3867200000004</v>
      </c>
      <c r="F25" s="24">
        <f>тариф!E9</f>
        <v>545.86556000000007</v>
      </c>
      <c r="G25" s="1" t="s">
        <v>91</v>
      </c>
    </row>
    <row r="26" spans="1:9" ht="15.75" x14ac:dyDescent="0.25">
      <c r="A26" s="40" t="s">
        <v>35</v>
      </c>
      <c r="B26" s="38"/>
      <c r="C26" s="38"/>
      <c r="D26" s="38"/>
      <c r="E26" s="17"/>
      <c r="F26" s="24">
        <f>G28</f>
        <v>304.51718</v>
      </c>
      <c r="G26" s="1">
        <v>12188</v>
      </c>
    </row>
    <row r="27" spans="1:9" ht="15.75" x14ac:dyDescent="0.25">
      <c r="A27" s="40" t="s">
        <v>36</v>
      </c>
      <c r="B27" s="38"/>
      <c r="C27" s="38"/>
      <c r="D27" s="38"/>
      <c r="E27" s="17"/>
      <c r="F27" s="24">
        <f>F26*0.302</f>
        <v>91.964188359999994</v>
      </c>
      <c r="G27" s="75">
        <f>('ТХ дома'!B27*0.0263/1000)</f>
        <v>2.4985E-2</v>
      </c>
    </row>
    <row r="28" spans="1:9" ht="15.75" x14ac:dyDescent="0.25">
      <c r="A28" s="40" t="s">
        <v>37</v>
      </c>
      <c r="B28" s="38"/>
      <c r="C28" s="38"/>
      <c r="D28" s="38"/>
      <c r="E28" s="17"/>
      <c r="F28" s="24">
        <f>F25-F26-F27</f>
        <v>149.3841916400001</v>
      </c>
      <c r="G28" s="97">
        <f>G26*G27</f>
        <v>304.51718</v>
      </c>
      <c r="H28" s="2"/>
    </row>
    <row r="29" spans="1:9" ht="15.75" x14ac:dyDescent="0.25">
      <c r="A29" s="40" t="s">
        <v>0</v>
      </c>
      <c r="B29" s="38"/>
      <c r="C29" s="38"/>
      <c r="D29" s="38"/>
      <c r="E29" s="17"/>
      <c r="F29" s="24"/>
    </row>
    <row r="30" spans="1:9" ht="31.5" x14ac:dyDescent="0.25">
      <c r="A30" s="33" t="s">
        <v>7</v>
      </c>
      <c r="B30" s="38">
        <f>F30</f>
        <v>986.71795000000009</v>
      </c>
      <c r="C30" s="38">
        <f>B30*12</f>
        <v>11840.615400000001</v>
      </c>
      <c r="D30" s="38">
        <f>SUM(D31:D34)</f>
        <v>0</v>
      </c>
      <c r="E30" s="17">
        <f>C30-D30</f>
        <v>11840.615400000001</v>
      </c>
      <c r="F30" s="24">
        <f>тариф!E10</f>
        <v>986.71795000000009</v>
      </c>
      <c r="G30" s="1" t="s">
        <v>136</v>
      </c>
    </row>
    <row r="31" spans="1:9" ht="15.75" x14ac:dyDescent="0.25">
      <c r="A31" s="40" t="s">
        <v>35</v>
      </c>
      <c r="B31" s="38"/>
      <c r="C31" s="38"/>
      <c r="D31" s="38"/>
      <c r="E31" s="17"/>
      <c r="F31" s="24">
        <f>G34</f>
        <v>257.00439404619982</v>
      </c>
      <c r="G31" s="1">
        <v>19379</v>
      </c>
    </row>
    <row r="32" spans="1:9" ht="15.75" x14ac:dyDescent="0.25">
      <c r="A32" s="40" t="s">
        <v>36</v>
      </c>
      <c r="B32" s="38"/>
      <c r="C32" s="38"/>
      <c r="D32" s="38"/>
      <c r="E32" s="17"/>
      <c r="F32" s="24">
        <f>F31*0.302</f>
        <v>77.615327001952338</v>
      </c>
      <c r="G32" s="75">
        <f>('ТХ дома'!B22/1000*0.0595)*G9</f>
        <v>8.5782697000000019E-2</v>
      </c>
      <c r="H32" s="1">
        <f>G31*G32</f>
        <v>1662.3828851630003</v>
      </c>
    </row>
    <row r="33" spans="1:8" ht="16.5" customHeight="1" x14ac:dyDescent="0.25">
      <c r="A33" s="40" t="s">
        <v>37</v>
      </c>
      <c r="B33" s="38"/>
      <c r="C33" s="38"/>
      <c r="D33" s="38"/>
      <c r="E33" s="17"/>
      <c r="F33" s="24">
        <f>F30-F31-F32</f>
        <v>652.098228951848</v>
      </c>
      <c r="G33" s="75">
        <f>G32*0.1546</f>
        <v>1.3262004956200002E-2</v>
      </c>
      <c r="H33" s="2"/>
    </row>
    <row r="34" spans="1:8" ht="15.75" x14ac:dyDescent="0.25">
      <c r="A34" s="40" t="s">
        <v>0</v>
      </c>
      <c r="B34" s="38"/>
      <c r="C34" s="38"/>
      <c r="D34" s="38"/>
      <c r="E34" s="17"/>
      <c r="F34" s="24"/>
      <c r="G34" s="97">
        <f>G31*G33</f>
        <v>257.00439404619982</v>
      </c>
    </row>
    <row r="35" spans="1:8" ht="31.5" x14ac:dyDescent="0.25">
      <c r="A35" s="31" t="s">
        <v>8</v>
      </c>
      <c r="B35" s="17">
        <f>B36+B41+B46+B51+B56+B58+B60+B62</f>
        <v>9489.7408599999999</v>
      </c>
      <c r="C35" s="17">
        <f t="shared" ref="C35" si="1">C36+C41+C46+C51+C56+C58+C60+C62</f>
        <v>113876.89032000001</v>
      </c>
      <c r="D35" s="17">
        <f>D36+D41+D46+D51+D56+D58+D60+D62</f>
        <v>0</v>
      </c>
      <c r="E35" s="17">
        <f>C35-D35</f>
        <v>113876.89032000001</v>
      </c>
      <c r="F35" s="25"/>
      <c r="G35" s="100"/>
    </row>
    <row r="36" spans="1:8" ht="31.5" customHeight="1" x14ac:dyDescent="0.25">
      <c r="A36" s="33" t="s">
        <v>9</v>
      </c>
      <c r="B36" s="38">
        <f>F36</f>
        <v>5187.2447499999998</v>
      </c>
      <c r="C36" s="38">
        <f>B36*12</f>
        <v>62246.936999999998</v>
      </c>
      <c r="D36" s="38">
        <f>SUM(D37:D40)</f>
        <v>0</v>
      </c>
      <c r="E36" s="17">
        <f>C36-D36</f>
        <v>62246.936999999998</v>
      </c>
      <c r="F36" s="24">
        <f>тариф!E13</f>
        <v>5187.2447499999998</v>
      </c>
      <c r="G36" s="102" t="s">
        <v>137</v>
      </c>
      <c r="H36" s="1" t="s">
        <v>138</v>
      </c>
    </row>
    <row r="37" spans="1:8" ht="15.75" x14ac:dyDescent="0.25">
      <c r="A37" s="40" t="s">
        <v>35</v>
      </c>
      <c r="B37" s="38"/>
      <c r="C37" s="38"/>
      <c r="D37" s="38"/>
      <c r="E37" s="17"/>
      <c r="F37" s="24">
        <f>G40+H40</f>
        <v>3150.2068417271003</v>
      </c>
      <c r="G37" s="1">
        <v>22182</v>
      </c>
      <c r="H37" s="1">
        <v>22182</v>
      </c>
    </row>
    <row r="38" spans="1:8" ht="15.75" x14ac:dyDescent="0.25">
      <c r="A38" s="40" t="s">
        <v>36</v>
      </c>
      <c r="B38" s="38"/>
      <c r="C38" s="38"/>
      <c r="D38" s="38"/>
      <c r="E38" s="17"/>
      <c r="F38" s="24">
        <f>F37*0.302</f>
        <v>951.3624662015842</v>
      </c>
      <c r="G38" s="75">
        <f>'ТХ дома'!B14/325</f>
        <v>0.37538461538461537</v>
      </c>
      <c r="H38" s="75">
        <f>(('ТХ дома'!B7+'ТХ дома'!B28*0.5)*0.01794/1000)*G9</f>
        <v>0.1353288651</v>
      </c>
    </row>
    <row r="39" spans="1:8" ht="15.75" x14ac:dyDescent="0.25">
      <c r="A39" s="40" t="s">
        <v>37</v>
      </c>
      <c r="B39" s="38"/>
      <c r="C39" s="38"/>
      <c r="D39" s="38"/>
      <c r="E39" s="17"/>
      <c r="F39" s="24">
        <f>F36-F37-F38</f>
        <v>1085.6754420713155</v>
      </c>
      <c r="G39" s="75">
        <f>G38*0.312746</f>
        <v>0.11740003692307693</v>
      </c>
      <c r="H39" s="21">
        <f>H38*0.1819</f>
        <v>2.4616320561690001E-2</v>
      </c>
    </row>
    <row r="40" spans="1:8" ht="15.75" x14ac:dyDescent="0.25">
      <c r="A40" s="40" t="s">
        <v>0</v>
      </c>
      <c r="B40" s="38"/>
      <c r="C40" s="38"/>
      <c r="D40" s="38"/>
      <c r="E40" s="17"/>
      <c r="F40" s="24"/>
      <c r="G40" s="97">
        <f>G37*G39</f>
        <v>2604.1676190276926</v>
      </c>
      <c r="H40" s="97">
        <f>H37*H39</f>
        <v>546.03922269940756</v>
      </c>
    </row>
    <row r="41" spans="1:8" ht="15.75" x14ac:dyDescent="0.25">
      <c r="A41" s="33" t="s">
        <v>10</v>
      </c>
      <c r="B41" s="38">
        <f>F41</f>
        <v>90.808490000000006</v>
      </c>
      <c r="C41" s="38">
        <f>B41*12</f>
        <v>1089.7018800000001</v>
      </c>
      <c r="D41" s="38">
        <f>SUM(D42:D45)</f>
        <v>0</v>
      </c>
      <c r="E41" s="17">
        <f>C41-D41</f>
        <v>1089.7018800000001</v>
      </c>
      <c r="F41" s="24">
        <f>тариф!E14</f>
        <v>90.808490000000006</v>
      </c>
      <c r="G41" s="1" t="s">
        <v>137</v>
      </c>
      <c r="H41" s="1" t="s">
        <v>138</v>
      </c>
    </row>
    <row r="42" spans="1:8" ht="15.75" x14ac:dyDescent="0.25">
      <c r="A42" s="40" t="s">
        <v>35</v>
      </c>
      <c r="B42" s="38"/>
      <c r="C42" s="38"/>
      <c r="D42" s="38"/>
      <c r="E42" s="17"/>
      <c r="F42" s="24">
        <f>G45</f>
        <v>1414.1479853900269</v>
      </c>
      <c r="G42" s="1">
        <v>22182</v>
      </c>
      <c r="H42" s="1">
        <v>22182</v>
      </c>
    </row>
    <row r="43" spans="1:8" ht="14.25" customHeight="1" x14ac:dyDescent="0.25">
      <c r="A43" s="40" t="s">
        <v>36</v>
      </c>
      <c r="B43" s="38"/>
      <c r="C43" s="38"/>
      <c r="D43" s="38"/>
      <c r="E43" s="17"/>
      <c r="F43" s="24">
        <f>F42*0.302</f>
        <v>427.07269158778809</v>
      </c>
      <c r="G43" s="75">
        <f>('ТХ дома'!B7+'ТХ дома'!B28*0.5)/37000*G9</f>
        <v>0.20387608108108107</v>
      </c>
    </row>
    <row r="44" spans="1:8" ht="14.25" customHeight="1" x14ac:dyDescent="0.25">
      <c r="A44" s="40" t="s">
        <v>37</v>
      </c>
      <c r="B44" s="38"/>
      <c r="C44" s="38"/>
      <c r="D44" s="38"/>
      <c r="E44" s="17"/>
      <c r="F44" s="24">
        <f>F41-F42-F43</f>
        <v>-1750.4121869778151</v>
      </c>
      <c r="G44" s="75">
        <f>G43*0.3127</f>
        <v>6.3752050554054043E-2</v>
      </c>
    </row>
    <row r="45" spans="1:8" ht="15.75" x14ac:dyDescent="0.25">
      <c r="A45" s="40" t="s">
        <v>0</v>
      </c>
      <c r="B45" s="38"/>
      <c r="C45" s="38"/>
      <c r="D45" s="38"/>
      <c r="E45" s="17"/>
      <c r="F45" s="24"/>
      <c r="G45" s="77">
        <f>G42*G44</f>
        <v>1414.1479853900269</v>
      </c>
    </row>
    <row r="46" spans="1:8" ht="15.75" x14ac:dyDescent="0.25">
      <c r="A46" s="33" t="s">
        <v>11</v>
      </c>
      <c r="B46" s="38">
        <f>F46</f>
        <v>1972.9285900000002</v>
      </c>
      <c r="C46" s="38">
        <f>B46*12</f>
        <v>23675.143080000002</v>
      </c>
      <c r="D46" s="38">
        <f>SUM(D47:D50)</f>
        <v>0</v>
      </c>
      <c r="E46" s="17">
        <f>C46-D46</f>
        <v>23675.143080000002</v>
      </c>
      <c r="F46" s="24">
        <f>тариф!E15</f>
        <v>1972.9285900000002</v>
      </c>
      <c r="G46" s="1" t="s">
        <v>139</v>
      </c>
    </row>
    <row r="47" spans="1:8" ht="15.75" x14ac:dyDescent="0.25">
      <c r="A47" s="40" t="s">
        <v>35</v>
      </c>
      <c r="B47" s="38"/>
      <c r="C47" s="38"/>
      <c r="D47" s="38"/>
      <c r="E47" s="17"/>
      <c r="F47" s="24">
        <f>G49</f>
        <v>1169.2590909090909</v>
      </c>
      <c r="G47" s="1">
        <v>21085</v>
      </c>
    </row>
    <row r="48" spans="1:8" ht="15.75" x14ac:dyDescent="0.25">
      <c r="A48" s="40" t="s">
        <v>36</v>
      </c>
      <c r="B48" s="38"/>
      <c r="C48" s="38"/>
      <c r="D48" s="38"/>
      <c r="E48" s="17"/>
      <c r="F48" s="24">
        <f>F47*0.302</f>
        <v>353.11624545454544</v>
      </c>
      <c r="G48" s="75">
        <f>'ТХ дома'!B16/2200</f>
        <v>5.5454545454545458E-2</v>
      </c>
    </row>
    <row r="49" spans="1:7" ht="15.75" x14ac:dyDescent="0.25">
      <c r="A49" s="40" t="s">
        <v>37</v>
      </c>
      <c r="B49" s="38"/>
      <c r="C49" s="38"/>
      <c r="D49" s="38"/>
      <c r="E49" s="17"/>
      <c r="F49" s="24">
        <f>F46-F47-F48</f>
        <v>450.55325363636388</v>
      </c>
      <c r="G49" s="77">
        <f>G47*G48</f>
        <v>1169.2590909090909</v>
      </c>
    </row>
    <row r="50" spans="1:7" ht="15.75" x14ac:dyDescent="0.25">
      <c r="A50" s="40" t="s">
        <v>0</v>
      </c>
      <c r="B50" s="38"/>
      <c r="C50" s="38"/>
      <c r="D50" s="38"/>
      <c r="E50" s="17"/>
      <c r="F50" s="24"/>
    </row>
    <row r="51" spans="1:7" ht="15" customHeight="1" x14ac:dyDescent="0.25">
      <c r="A51" s="34" t="s">
        <v>12</v>
      </c>
      <c r="B51" s="38">
        <f>F51</f>
        <v>422.58923000000004</v>
      </c>
      <c r="C51" s="38">
        <f>B51*12</f>
        <v>5071.0707600000005</v>
      </c>
      <c r="D51" s="38">
        <f>SUM(D52:D55)</f>
        <v>0</v>
      </c>
      <c r="E51" s="17">
        <f>C51-D51</f>
        <v>5071.0707600000005</v>
      </c>
      <c r="F51" s="24">
        <f>тариф!E16</f>
        <v>422.58923000000004</v>
      </c>
      <c r="G51" s="1" t="s">
        <v>140</v>
      </c>
    </row>
    <row r="52" spans="1:7" ht="15.75" x14ac:dyDescent="0.25">
      <c r="A52" s="40" t="s">
        <v>70</v>
      </c>
      <c r="B52" s="38"/>
      <c r="C52" s="38"/>
      <c r="D52" s="38"/>
      <c r="E52" s="17"/>
      <c r="F52" s="24">
        <f>G55</f>
        <v>2057.8960000000002</v>
      </c>
      <c r="G52" s="1">
        <v>21085</v>
      </c>
    </row>
    <row r="53" spans="1:7" ht="15.75" x14ac:dyDescent="0.25">
      <c r="A53" s="40" t="s">
        <v>36</v>
      </c>
      <c r="B53" s="38"/>
      <c r="C53" s="38"/>
      <c r="D53" s="38"/>
      <c r="E53" s="17"/>
      <c r="F53" s="24">
        <f>F52*0.302</f>
        <v>621.48459200000002</v>
      </c>
      <c r="G53" s="1">
        <v>1250</v>
      </c>
    </row>
    <row r="54" spans="1:7" ht="15.75" x14ac:dyDescent="0.25">
      <c r="A54" s="40" t="s">
        <v>37</v>
      </c>
      <c r="B54" s="38"/>
      <c r="C54" s="38"/>
      <c r="D54" s="38"/>
      <c r="E54" s="17"/>
      <c r="F54" s="24">
        <f>F51-F52-F53</f>
        <v>-2256.7913619999999</v>
      </c>
      <c r="G54" s="1">
        <f>'ТХ дома'!B12/G53</f>
        <v>9.7600000000000006E-2</v>
      </c>
    </row>
    <row r="55" spans="1:7" ht="15.75" x14ac:dyDescent="0.25">
      <c r="A55" s="40" t="s">
        <v>0</v>
      </c>
      <c r="B55" s="38"/>
      <c r="C55" s="38"/>
      <c r="D55" s="38"/>
      <c r="E55" s="17"/>
      <c r="F55" s="24"/>
      <c r="G55" s="77">
        <f>G52*G54</f>
        <v>2057.8960000000002</v>
      </c>
    </row>
    <row r="56" spans="1:7" ht="31.5" x14ac:dyDescent="0.25">
      <c r="A56" s="33" t="s">
        <v>13</v>
      </c>
      <c r="B56" s="38">
        <f>B57</f>
        <v>0</v>
      </c>
      <c r="C56" s="38">
        <f t="shared" ref="C56:C74" si="2">B56*12</f>
        <v>0</v>
      </c>
      <c r="D56" s="38">
        <f>D57</f>
        <v>0</v>
      </c>
      <c r="E56" s="17">
        <f>C56-D56</f>
        <v>0</v>
      </c>
      <c r="F56" s="24">
        <f>тариф!E17</f>
        <v>0</v>
      </c>
    </row>
    <row r="57" spans="1:7" ht="15.75" x14ac:dyDescent="0.25">
      <c r="A57" s="41" t="s">
        <v>76</v>
      </c>
      <c r="B57" s="38">
        <f>F56</f>
        <v>0</v>
      </c>
      <c r="C57" s="38"/>
      <c r="D57" s="38"/>
      <c r="E57" s="17"/>
      <c r="F57" s="24"/>
    </row>
    <row r="58" spans="1:7" ht="15.75" x14ac:dyDescent="0.25">
      <c r="A58" s="33" t="s">
        <v>71</v>
      </c>
      <c r="B58" s="38">
        <f>B59</f>
        <v>717.33634000000006</v>
      </c>
      <c r="C58" s="38">
        <f t="shared" si="2"/>
        <v>8608.0360800000017</v>
      </c>
      <c r="D58" s="38">
        <f>D59</f>
        <v>0</v>
      </c>
      <c r="E58" s="17">
        <f>C58-D58</f>
        <v>8608.0360800000017</v>
      </c>
      <c r="F58" s="24">
        <f>тариф!E18+тариф!E19</f>
        <v>717.33634000000006</v>
      </c>
    </row>
    <row r="59" spans="1:7" ht="15.75" x14ac:dyDescent="0.25">
      <c r="A59" s="41" t="s">
        <v>77</v>
      </c>
      <c r="B59" s="38">
        <f>F58</f>
        <v>717.33634000000006</v>
      </c>
      <c r="C59" s="38">
        <f t="shared" si="2"/>
        <v>8608.0360800000017</v>
      </c>
      <c r="D59" s="38"/>
      <c r="E59" s="17"/>
      <c r="F59" s="24"/>
    </row>
    <row r="60" spans="1:7" ht="15.75" hidden="1" x14ac:dyDescent="0.25">
      <c r="A60" s="33" t="s">
        <v>15</v>
      </c>
      <c r="B60" s="38">
        <f>B61</f>
        <v>0</v>
      </c>
      <c r="C60" s="38">
        <f t="shared" si="2"/>
        <v>0</v>
      </c>
      <c r="D60" s="38"/>
      <c r="E60" s="17"/>
      <c r="F60" s="24">
        <f>0.7779*C120</f>
        <v>3946.3644900000004</v>
      </c>
      <c r="G60" s="1">
        <f>0.3917*B121</f>
        <v>3.98864193</v>
      </c>
    </row>
    <row r="61" spans="1:7" ht="31.5" hidden="1" x14ac:dyDescent="0.25">
      <c r="A61" s="41" t="s">
        <v>40</v>
      </c>
      <c r="B61" s="38"/>
      <c r="C61" s="38">
        <f t="shared" si="2"/>
        <v>0</v>
      </c>
      <c r="D61" s="38"/>
      <c r="E61" s="17"/>
      <c r="F61" s="24">
        <v>702.54</v>
      </c>
    </row>
    <row r="62" spans="1:7" ht="18" customHeight="1" x14ac:dyDescent="0.25">
      <c r="A62" s="34" t="s">
        <v>16</v>
      </c>
      <c r="B62" s="38">
        <f>B63</f>
        <v>1098.8334600000001</v>
      </c>
      <c r="C62" s="38">
        <f t="shared" si="2"/>
        <v>13186.001520000002</v>
      </c>
      <c r="D62" s="38">
        <f>D63</f>
        <v>0</v>
      </c>
      <c r="E62" s="17">
        <f>C62-D62</f>
        <v>13186.001520000002</v>
      </c>
      <c r="F62" s="24">
        <f>тариф!E20</f>
        <v>1098.8334600000001</v>
      </c>
    </row>
    <row r="63" spans="1:7" ht="32.25" customHeight="1" x14ac:dyDescent="0.25">
      <c r="A63" s="42" t="s">
        <v>39</v>
      </c>
      <c r="B63" s="38">
        <f>F62</f>
        <v>1098.8334600000001</v>
      </c>
      <c r="C63" s="38">
        <f t="shared" si="2"/>
        <v>13186.001520000002</v>
      </c>
      <c r="D63" s="38"/>
      <c r="E63" s="17"/>
      <c r="F63" s="24"/>
    </row>
    <row r="64" spans="1:7" ht="31.5" x14ac:dyDescent="0.25">
      <c r="A64" s="31" t="s">
        <v>17</v>
      </c>
      <c r="B64" s="18">
        <f>B65+B66+B71+B76+B81+B83</f>
        <v>16042.664129999999</v>
      </c>
      <c r="C64" s="18">
        <f t="shared" ref="C64:D64" si="3">C65+C66+C71+C76+C81+C83</f>
        <v>192511.96956</v>
      </c>
      <c r="D64" s="18">
        <f t="shared" si="3"/>
        <v>0</v>
      </c>
      <c r="E64" s="17">
        <f>C64-D64</f>
        <v>192511.96956</v>
      </c>
      <c r="F64" s="24"/>
      <c r="G64" s="29"/>
    </row>
    <row r="65" spans="1:7" ht="15.75" x14ac:dyDescent="0.25">
      <c r="A65" s="33" t="s">
        <v>18</v>
      </c>
      <c r="B65" s="50">
        <v>0</v>
      </c>
      <c r="C65" s="38">
        <f t="shared" si="2"/>
        <v>0</v>
      </c>
      <c r="D65" s="38">
        <v>0</v>
      </c>
      <c r="E65" s="17">
        <f t="shared" ref="E65:E71" si="4">C65-D65</f>
        <v>0</v>
      </c>
      <c r="F65" s="24"/>
    </row>
    <row r="66" spans="1:7" ht="18" customHeight="1" x14ac:dyDescent="0.25">
      <c r="A66" s="33" t="s">
        <v>19</v>
      </c>
      <c r="B66" s="38">
        <f>SUM(B67:B70)</f>
        <v>7409.2625499999995</v>
      </c>
      <c r="C66" s="38">
        <f>SUM(C67:C70)</f>
        <v>88911.150599999994</v>
      </c>
      <c r="D66" s="38">
        <f>SUM(D67:D70)</f>
        <v>0</v>
      </c>
      <c r="E66" s="17">
        <f t="shared" si="4"/>
        <v>88911.150599999994</v>
      </c>
      <c r="F66" s="24">
        <f>тариф!E23</f>
        <v>7409.2625500000004</v>
      </c>
      <c r="G66" s="1" t="s">
        <v>142</v>
      </c>
    </row>
    <row r="67" spans="1:7" ht="15.75" x14ac:dyDescent="0.25">
      <c r="A67" s="40" t="s">
        <v>144</v>
      </c>
      <c r="B67" s="38">
        <f>F67</f>
        <v>4875.2</v>
      </c>
      <c r="C67" s="38">
        <f>B67*12</f>
        <v>58502.399999999994</v>
      </c>
      <c r="D67" s="38"/>
      <c r="E67" s="17"/>
      <c r="F67" s="24">
        <f>G69</f>
        <v>4875.2</v>
      </c>
      <c r="G67" s="1">
        <v>12188</v>
      </c>
    </row>
    <row r="68" spans="1:7" ht="15.75" x14ac:dyDescent="0.25">
      <c r="A68" s="40" t="s">
        <v>36</v>
      </c>
      <c r="B68" s="38">
        <f>B67*0.302</f>
        <v>1472.3103999999998</v>
      </c>
      <c r="C68" s="38">
        <f t="shared" ref="C68:C69" si="5">B68*12</f>
        <v>17667.724799999996</v>
      </c>
      <c r="D68" s="38"/>
      <c r="E68" s="17"/>
      <c r="F68" s="24">
        <f>F67*0.302</f>
        <v>1472.3103999999998</v>
      </c>
      <c r="G68" s="101">
        <f>'ТХ дома'!B30/5250</f>
        <v>0.4</v>
      </c>
    </row>
    <row r="69" spans="1:7" ht="15.75" x14ac:dyDescent="0.25">
      <c r="A69" s="40" t="s">
        <v>37</v>
      </c>
      <c r="B69" s="38">
        <f>F66-B67-B68</f>
        <v>1061.7521500000007</v>
      </c>
      <c r="C69" s="38">
        <f t="shared" si="5"/>
        <v>12741.025800000009</v>
      </c>
      <c r="D69" s="38"/>
      <c r="E69" s="17"/>
      <c r="F69" s="24">
        <f>F66-F67-F68</f>
        <v>1061.7521500000007</v>
      </c>
      <c r="G69" s="77">
        <f>G67*G68</f>
        <v>4875.2</v>
      </c>
    </row>
    <row r="70" spans="1:7" ht="15.75" x14ac:dyDescent="0.25">
      <c r="A70" s="40" t="s">
        <v>0</v>
      </c>
      <c r="B70" s="38"/>
      <c r="C70" s="38"/>
      <c r="D70" s="38"/>
      <c r="E70" s="17"/>
      <c r="F70" s="24"/>
    </row>
    <row r="71" spans="1:7" ht="15.75" x14ac:dyDescent="0.25">
      <c r="A71" s="33" t="s">
        <v>20</v>
      </c>
      <c r="B71" s="38">
        <f>SUM(B72:B75)</f>
        <v>385.55560000000003</v>
      </c>
      <c r="C71" s="38">
        <f t="shared" si="2"/>
        <v>4626.6671999999999</v>
      </c>
      <c r="D71" s="38">
        <v>0</v>
      </c>
      <c r="E71" s="17">
        <f t="shared" si="4"/>
        <v>4626.6671999999999</v>
      </c>
      <c r="F71" s="24">
        <f>тариф!E24</f>
        <v>385.55560000000003</v>
      </c>
      <c r="G71" s="1" t="s">
        <v>142</v>
      </c>
    </row>
    <row r="72" spans="1:7" ht="15.75" x14ac:dyDescent="0.25">
      <c r="A72" s="41" t="s">
        <v>144</v>
      </c>
      <c r="B72" s="38">
        <f>F72</f>
        <v>253.69871244635192</v>
      </c>
      <c r="C72" s="38">
        <f t="shared" si="2"/>
        <v>3044.384549356223</v>
      </c>
      <c r="D72" s="38"/>
      <c r="E72" s="17"/>
      <c r="F72" s="24">
        <f>G74</f>
        <v>253.69871244635192</v>
      </c>
      <c r="G72" s="1">
        <v>12188</v>
      </c>
    </row>
    <row r="73" spans="1:7" ht="15.75" x14ac:dyDescent="0.25">
      <c r="A73" s="41" t="s">
        <v>36</v>
      </c>
      <c r="B73" s="38">
        <f>B72*0.302</f>
        <v>76.617011158798277</v>
      </c>
      <c r="C73" s="38">
        <f t="shared" si="2"/>
        <v>919.40413390557933</v>
      </c>
      <c r="D73" s="38"/>
      <c r="E73" s="17"/>
      <c r="F73" s="24">
        <f>F72*0.302</f>
        <v>76.617011158798277</v>
      </c>
      <c r="G73" s="75">
        <f>'ТХ дома'!B40/233</f>
        <v>2.0815450643776823E-2</v>
      </c>
    </row>
    <row r="74" spans="1:7" ht="15.75" x14ac:dyDescent="0.25">
      <c r="A74" s="41" t="s">
        <v>37</v>
      </c>
      <c r="B74" s="38">
        <f>F74</f>
        <v>55.23987639484983</v>
      </c>
      <c r="C74" s="38">
        <f t="shared" si="2"/>
        <v>662.87851673819796</v>
      </c>
      <c r="D74" s="38"/>
      <c r="E74" s="17"/>
      <c r="F74" s="24">
        <f>F71-F72-F73</f>
        <v>55.23987639484983</v>
      </c>
      <c r="G74" s="77">
        <f>G72*G73</f>
        <v>253.69871244635192</v>
      </c>
    </row>
    <row r="75" spans="1:7" ht="15.75" x14ac:dyDescent="0.25">
      <c r="A75" s="41" t="s">
        <v>0</v>
      </c>
      <c r="B75" s="38"/>
      <c r="C75" s="38"/>
      <c r="D75" s="38"/>
      <c r="E75" s="17"/>
      <c r="F75" s="24"/>
    </row>
    <row r="76" spans="1:7" ht="15.75" x14ac:dyDescent="0.25">
      <c r="A76" s="33" t="s">
        <v>21</v>
      </c>
      <c r="B76" s="38">
        <f>SUM(B77:B80)</f>
        <v>0</v>
      </c>
      <c r="C76" s="38">
        <f>SUM(C77:C80)</f>
        <v>0</v>
      </c>
      <c r="D76" s="38">
        <f>SUM(D77:D80)</f>
        <v>0</v>
      </c>
      <c r="E76" s="17">
        <f>C76-D76</f>
        <v>0</v>
      </c>
      <c r="F76" s="24">
        <f>тариф!E25</f>
        <v>0</v>
      </c>
      <c r="G76" s="1" t="s">
        <v>143</v>
      </c>
    </row>
    <row r="77" spans="1:7" ht="18" customHeight="1" x14ac:dyDescent="0.25">
      <c r="A77" s="40" t="s">
        <v>147</v>
      </c>
      <c r="B77" s="38">
        <f>F77</f>
        <v>0</v>
      </c>
      <c r="C77" s="38">
        <f>B77*12</f>
        <v>0</v>
      </c>
      <c r="D77" s="38"/>
      <c r="E77" s="17"/>
      <c r="F77" s="24">
        <f>G79</f>
        <v>0</v>
      </c>
      <c r="G77" s="75">
        <v>12188</v>
      </c>
    </row>
    <row r="78" spans="1:7" ht="15.75" x14ac:dyDescent="0.25">
      <c r="A78" s="40" t="s">
        <v>36</v>
      </c>
      <c r="B78" s="38">
        <f>B77*0.302</f>
        <v>0</v>
      </c>
      <c r="C78" s="38">
        <f t="shared" ref="C78:C79" si="6">B78*12</f>
        <v>0</v>
      </c>
      <c r="D78" s="38"/>
      <c r="E78" s="17"/>
      <c r="F78" s="24">
        <f>F77*0.302</f>
        <v>0</v>
      </c>
      <c r="G78" s="75"/>
    </row>
    <row r="79" spans="1:7" ht="15.75" x14ac:dyDescent="0.25">
      <c r="A79" s="40" t="s">
        <v>37</v>
      </c>
      <c r="B79" s="38">
        <f>F79</f>
        <v>0</v>
      </c>
      <c r="C79" s="38">
        <f t="shared" si="6"/>
        <v>0</v>
      </c>
      <c r="D79" s="38"/>
      <c r="E79" s="17"/>
      <c r="F79" s="24">
        <f>F76-F77-F78</f>
        <v>0</v>
      </c>
      <c r="G79" s="20">
        <f>G77*G78</f>
        <v>0</v>
      </c>
    </row>
    <row r="80" spans="1:7" ht="15.75" x14ac:dyDescent="0.25">
      <c r="A80" s="40" t="s">
        <v>0</v>
      </c>
      <c r="B80" s="38"/>
      <c r="C80" s="38"/>
      <c r="D80" s="38"/>
      <c r="E80" s="17"/>
      <c r="F80" s="24"/>
    </row>
    <row r="81" spans="1:7" ht="32.25" customHeight="1" x14ac:dyDescent="0.25">
      <c r="A81" s="33" t="s">
        <v>22</v>
      </c>
      <c r="B81" s="38">
        <f>B82</f>
        <v>1066.87293</v>
      </c>
      <c r="C81" s="38">
        <f t="shared" ref="C81:C89" si="7">B81*12</f>
        <v>12802.47516</v>
      </c>
      <c r="D81" s="38">
        <f>D82</f>
        <v>0</v>
      </c>
      <c r="E81" s="17">
        <f>C81-D81</f>
        <v>12802.47516</v>
      </c>
      <c r="F81" s="24">
        <f>тариф!E26</f>
        <v>1066.87293</v>
      </c>
    </row>
    <row r="82" spans="1:7" ht="33.75" customHeight="1" x14ac:dyDescent="0.25">
      <c r="A82" s="41" t="s">
        <v>39</v>
      </c>
      <c r="B82" s="38">
        <f>F81</f>
        <v>1066.87293</v>
      </c>
      <c r="C82" s="38">
        <f t="shared" si="7"/>
        <v>12802.47516</v>
      </c>
      <c r="D82" s="38"/>
      <c r="E82" s="17"/>
      <c r="F82" s="24"/>
    </row>
    <row r="83" spans="1:7" ht="15.75" x14ac:dyDescent="0.25">
      <c r="A83" s="33" t="s">
        <v>23</v>
      </c>
      <c r="B83" s="38">
        <f>F83</f>
        <v>7180.9730500000005</v>
      </c>
      <c r="C83" s="38">
        <f t="shared" si="7"/>
        <v>86171.676600000006</v>
      </c>
      <c r="D83" s="38">
        <f>SUM(D84:D87)</f>
        <v>0</v>
      </c>
      <c r="E83" s="17">
        <f>C83-D83</f>
        <v>86171.676600000006</v>
      </c>
      <c r="F83" s="24">
        <f>тариф!E27</f>
        <v>7180.9730500000005</v>
      </c>
    </row>
    <row r="84" spans="1:7" ht="15.75" x14ac:dyDescent="0.25">
      <c r="A84" s="40" t="s">
        <v>35</v>
      </c>
      <c r="B84" s="38"/>
      <c r="C84" s="38"/>
      <c r="D84" s="38"/>
      <c r="E84" s="17"/>
      <c r="F84" s="24"/>
    </row>
    <row r="85" spans="1:7" ht="15.75" x14ac:dyDescent="0.25">
      <c r="A85" s="40" t="s">
        <v>36</v>
      </c>
      <c r="B85" s="38"/>
      <c r="C85" s="38"/>
      <c r="D85" s="38"/>
      <c r="E85" s="17"/>
      <c r="F85" s="24"/>
    </row>
    <row r="86" spans="1:7" ht="15.75" x14ac:dyDescent="0.25">
      <c r="A86" s="40" t="s">
        <v>37</v>
      </c>
      <c r="B86" s="38"/>
      <c r="C86" s="38"/>
      <c r="D86" s="38"/>
      <c r="E86" s="17"/>
      <c r="F86" s="24"/>
    </row>
    <row r="87" spans="1:7" ht="15.75" x14ac:dyDescent="0.25">
      <c r="A87" s="40" t="s">
        <v>0</v>
      </c>
      <c r="B87" s="38"/>
      <c r="C87" s="38"/>
      <c r="D87" s="38"/>
      <c r="E87" s="17"/>
      <c r="F87" s="24"/>
    </row>
    <row r="88" spans="1:7" ht="15.75" hidden="1" x14ac:dyDescent="0.25">
      <c r="A88" s="31" t="s">
        <v>24</v>
      </c>
      <c r="B88" s="17"/>
      <c r="C88" s="17"/>
      <c r="D88" s="17"/>
      <c r="E88" s="17"/>
      <c r="F88" s="24"/>
      <c r="G88" s="1">
        <f>1.1426*B120</f>
        <v>5796.5240600000006</v>
      </c>
    </row>
    <row r="89" spans="1:7" ht="31.5" x14ac:dyDescent="0.25">
      <c r="A89" s="31" t="s">
        <v>72</v>
      </c>
      <c r="B89" s="17">
        <f>F89</f>
        <v>22652.406120000003</v>
      </c>
      <c r="C89" s="17">
        <f t="shared" si="7"/>
        <v>271828.87344000005</v>
      </c>
      <c r="D89" s="17">
        <f>D90+D101</f>
        <v>238882.13280000002</v>
      </c>
      <c r="E89" s="17">
        <f>C89-D89</f>
        <v>32946.740640000033</v>
      </c>
      <c r="F89" s="24">
        <f>тариф!E28+тариф!E29</f>
        <v>22652.406120000003</v>
      </c>
    </row>
    <row r="90" spans="1:7" ht="15.75" x14ac:dyDescent="0.25">
      <c r="A90" s="67" t="s">
        <v>66</v>
      </c>
      <c r="B90" s="17"/>
      <c r="C90" s="17"/>
      <c r="D90" s="17">
        <f>SUM(D91:D100)</f>
        <v>131257.33092000001</v>
      </c>
      <c r="E90" s="17"/>
      <c r="F90" s="24"/>
    </row>
    <row r="91" spans="1:7" ht="25.5" x14ac:dyDescent="0.25">
      <c r="A91" s="68" t="s">
        <v>78</v>
      </c>
      <c r="B91" s="17"/>
      <c r="C91" s="17"/>
      <c r="D91" s="38">
        <f>F91*$D$120*12</f>
        <v>88564.150560000009</v>
      </c>
      <c r="E91" s="17"/>
      <c r="F91" s="53">
        <v>1.4548000000000001</v>
      </c>
    </row>
    <row r="92" spans="1:7" ht="15.75" x14ac:dyDescent="0.25">
      <c r="A92" s="68" t="s">
        <v>36</v>
      </c>
      <c r="B92" s="17"/>
      <c r="C92" s="17"/>
      <c r="D92" s="38">
        <f t="shared" ref="D92:D100" si="8">F92*$D$120*12</f>
        <v>25684.090680000001</v>
      </c>
      <c r="E92" s="17"/>
      <c r="F92" s="53">
        <v>0.4219</v>
      </c>
    </row>
    <row r="93" spans="1:7" ht="15.75" x14ac:dyDescent="0.25">
      <c r="A93" s="68" t="s">
        <v>49</v>
      </c>
      <c r="B93" s="17"/>
      <c r="C93" s="17"/>
      <c r="D93" s="38">
        <f t="shared" si="8"/>
        <v>413.96496000000002</v>
      </c>
      <c r="E93" s="17"/>
      <c r="F93" s="53">
        <v>6.7999999999999996E-3</v>
      </c>
    </row>
    <row r="94" spans="1:7" ht="15.75" x14ac:dyDescent="0.25">
      <c r="A94" s="68" t="s">
        <v>50</v>
      </c>
      <c r="B94" s="17"/>
      <c r="C94" s="17"/>
      <c r="D94" s="38">
        <f t="shared" si="8"/>
        <v>438.31583999999998</v>
      </c>
      <c r="E94" s="17"/>
      <c r="F94" s="53">
        <v>7.1999999999999998E-3</v>
      </c>
    </row>
    <row r="95" spans="1:7" ht="25.5" x14ac:dyDescent="0.25">
      <c r="A95" s="68" t="s">
        <v>79</v>
      </c>
      <c r="B95" s="17"/>
      <c r="C95" s="17"/>
      <c r="D95" s="38">
        <f t="shared" si="8"/>
        <v>389.61408000000006</v>
      </c>
      <c r="E95" s="17"/>
      <c r="F95" s="53">
        <v>6.4000000000000003E-3</v>
      </c>
    </row>
    <row r="96" spans="1:7" ht="15.75" x14ac:dyDescent="0.25">
      <c r="A96" s="68" t="s">
        <v>51</v>
      </c>
      <c r="B96" s="17"/>
      <c r="C96" s="17"/>
      <c r="D96" s="38">
        <f t="shared" si="8"/>
        <v>383.52636000000001</v>
      </c>
      <c r="E96" s="17"/>
      <c r="F96" s="53">
        <v>6.3E-3</v>
      </c>
    </row>
    <row r="97" spans="1:6" ht="25.5" x14ac:dyDescent="0.25">
      <c r="A97" s="68" t="s">
        <v>80</v>
      </c>
      <c r="B97" s="17"/>
      <c r="C97" s="17"/>
      <c r="D97" s="38">
        <f t="shared" si="8"/>
        <v>487.01760000000002</v>
      </c>
      <c r="E97" s="17"/>
      <c r="F97" s="53">
        <v>8.0000000000000002E-3</v>
      </c>
    </row>
    <row r="98" spans="1:6" ht="15.75" x14ac:dyDescent="0.25">
      <c r="A98" s="68" t="s">
        <v>52</v>
      </c>
      <c r="B98" s="17"/>
      <c r="C98" s="17"/>
      <c r="D98" s="38">
        <f t="shared" si="8"/>
        <v>1619.3335199999999</v>
      </c>
      <c r="E98" s="17"/>
      <c r="F98" s="53">
        <v>2.6599999999999999E-2</v>
      </c>
    </row>
    <row r="99" spans="1:6" ht="15.75" x14ac:dyDescent="0.25">
      <c r="A99" s="68" t="s">
        <v>53</v>
      </c>
      <c r="B99" s="17"/>
      <c r="C99" s="17"/>
      <c r="D99" s="38">
        <f t="shared" si="8"/>
        <v>4291.8425999999999</v>
      </c>
      <c r="E99" s="17"/>
      <c r="F99" s="53">
        <v>7.0499999999999993E-2</v>
      </c>
    </row>
    <row r="100" spans="1:6" ht="15.75" x14ac:dyDescent="0.25">
      <c r="A100" s="68" t="s">
        <v>0</v>
      </c>
      <c r="B100" s="17"/>
      <c r="C100" s="17"/>
      <c r="D100" s="38">
        <f t="shared" si="8"/>
        <v>8985.4747200000002</v>
      </c>
      <c r="E100" s="17"/>
      <c r="F100" s="53">
        <v>0.14760000000000001</v>
      </c>
    </row>
    <row r="101" spans="1:6" ht="15.75" x14ac:dyDescent="0.25">
      <c r="A101" s="67" t="s">
        <v>67</v>
      </c>
      <c r="B101" s="17"/>
      <c r="C101" s="17"/>
      <c r="D101" s="17">
        <f>D102+D103+D104+D112+D116+D117+D118</f>
        <v>107624.80188000001</v>
      </c>
      <c r="E101" s="17"/>
      <c r="F101" s="24"/>
    </row>
    <row r="102" spans="1:6" ht="32.25" customHeight="1" x14ac:dyDescent="0.25">
      <c r="A102" s="71" t="s">
        <v>84</v>
      </c>
      <c r="B102" s="17"/>
      <c r="C102" s="17"/>
      <c r="D102" s="38">
        <f t="shared" ref="D102:D118" si="9">F102*$D$120*12</f>
        <v>66824.902440000005</v>
      </c>
      <c r="E102" s="17"/>
      <c r="F102" s="53">
        <v>1.0976999999999999</v>
      </c>
    </row>
    <row r="103" spans="1:6" ht="15.75" x14ac:dyDescent="0.25">
      <c r="A103" s="71" t="s">
        <v>36</v>
      </c>
      <c r="B103" s="17"/>
      <c r="C103" s="17"/>
      <c r="D103" s="38">
        <f t="shared" si="9"/>
        <v>19505.054880000003</v>
      </c>
      <c r="E103" s="17"/>
      <c r="F103" s="53">
        <v>0.32040000000000002</v>
      </c>
    </row>
    <row r="104" spans="1:6" ht="32.25" customHeight="1" x14ac:dyDescent="0.25">
      <c r="A104" s="71" t="s">
        <v>54</v>
      </c>
      <c r="B104" s="17"/>
      <c r="C104" s="17"/>
      <c r="D104" s="38">
        <f t="shared" si="9"/>
        <v>7932.2991600000005</v>
      </c>
      <c r="E104" s="17"/>
      <c r="F104" s="53">
        <v>0.1303</v>
      </c>
    </row>
    <row r="105" spans="1:6" ht="15.75" x14ac:dyDescent="0.25">
      <c r="A105" s="69" t="s">
        <v>55</v>
      </c>
      <c r="B105" s="17"/>
      <c r="C105" s="17"/>
      <c r="D105" s="38">
        <f t="shared" si="9"/>
        <v>1406.26332</v>
      </c>
      <c r="E105" s="17"/>
      <c r="F105" s="53">
        <v>2.3099999999999999E-2</v>
      </c>
    </row>
    <row r="106" spans="1:6" ht="15.75" x14ac:dyDescent="0.25">
      <c r="A106" s="69" t="s">
        <v>56</v>
      </c>
      <c r="B106" s="17"/>
      <c r="C106" s="17"/>
      <c r="D106" s="38">
        <f t="shared" si="9"/>
        <v>60.877200000000002</v>
      </c>
      <c r="E106" s="17"/>
      <c r="F106" s="53">
        <v>1E-3</v>
      </c>
    </row>
    <row r="107" spans="1:6" ht="15.75" x14ac:dyDescent="0.25">
      <c r="A107" s="69" t="s">
        <v>57</v>
      </c>
      <c r="B107" s="17"/>
      <c r="C107" s="17"/>
      <c r="D107" s="38">
        <f t="shared" si="9"/>
        <v>1327.1229600000001</v>
      </c>
      <c r="E107" s="17"/>
      <c r="F107" s="53">
        <v>2.18E-2</v>
      </c>
    </row>
    <row r="108" spans="1:6" ht="15.75" x14ac:dyDescent="0.25">
      <c r="A108" s="69" t="s">
        <v>81</v>
      </c>
      <c r="B108" s="17"/>
      <c r="C108" s="17"/>
      <c r="D108" s="38">
        <f t="shared" si="9"/>
        <v>133.92984000000001</v>
      </c>
      <c r="E108" s="17"/>
      <c r="F108" s="53">
        <v>2.2000000000000001E-3</v>
      </c>
    </row>
    <row r="109" spans="1:6" ht="15.75" x14ac:dyDescent="0.25">
      <c r="A109" s="69" t="s">
        <v>58</v>
      </c>
      <c r="B109" s="17"/>
      <c r="C109" s="17"/>
      <c r="D109" s="38">
        <f t="shared" si="9"/>
        <v>0</v>
      </c>
      <c r="E109" s="17"/>
      <c r="F109" s="53">
        <v>0</v>
      </c>
    </row>
    <row r="110" spans="1:6" ht="15.75" x14ac:dyDescent="0.25">
      <c r="A110" s="69" t="s">
        <v>59</v>
      </c>
      <c r="B110" s="17"/>
      <c r="C110" s="17"/>
      <c r="D110" s="38">
        <f t="shared" si="9"/>
        <v>1229.7194399999998</v>
      </c>
      <c r="E110" s="17"/>
      <c r="F110" s="53">
        <v>2.0199999999999999E-2</v>
      </c>
    </row>
    <row r="111" spans="1:6" ht="15.75" x14ac:dyDescent="0.25">
      <c r="A111" s="69" t="s">
        <v>82</v>
      </c>
      <c r="B111" s="17"/>
      <c r="C111" s="17"/>
      <c r="D111" s="38">
        <f t="shared" si="9"/>
        <v>3713.5092000000004</v>
      </c>
      <c r="E111" s="17"/>
      <c r="F111" s="53">
        <v>6.0999999999999999E-2</v>
      </c>
    </row>
    <row r="112" spans="1:6" ht="15.75" x14ac:dyDescent="0.25">
      <c r="A112" s="69" t="s">
        <v>60</v>
      </c>
      <c r="B112" s="17"/>
      <c r="C112" s="17"/>
      <c r="D112" s="38">
        <f t="shared" si="9"/>
        <v>66.964920000000006</v>
      </c>
      <c r="E112" s="17"/>
      <c r="F112" s="53">
        <v>1.1000000000000001E-3</v>
      </c>
    </row>
    <row r="113" spans="1:7" ht="18.75" customHeight="1" x14ac:dyDescent="0.25">
      <c r="A113" s="72" t="s">
        <v>61</v>
      </c>
      <c r="B113" s="17"/>
      <c r="C113" s="17"/>
      <c r="D113" s="38">
        <f t="shared" si="9"/>
        <v>3317.8073999999997</v>
      </c>
      <c r="E113" s="17"/>
      <c r="F113" s="53">
        <v>5.45E-2</v>
      </c>
    </row>
    <row r="114" spans="1:7" ht="15.75" x14ac:dyDescent="0.25">
      <c r="A114" s="69" t="s">
        <v>62</v>
      </c>
      <c r="B114" s="17"/>
      <c r="C114" s="17"/>
      <c r="D114" s="38">
        <f t="shared" si="9"/>
        <v>359.17547999999999</v>
      </c>
      <c r="E114" s="17"/>
      <c r="F114" s="53">
        <v>5.8999999999999999E-3</v>
      </c>
    </row>
    <row r="115" spans="1:7" ht="15.75" x14ac:dyDescent="0.25">
      <c r="A115" s="69" t="s">
        <v>63</v>
      </c>
      <c r="B115" s="17"/>
      <c r="C115" s="17"/>
      <c r="D115" s="38">
        <f t="shared" si="9"/>
        <v>1722.8247600000002</v>
      </c>
      <c r="E115" s="17"/>
      <c r="F115" s="53">
        <v>2.8299999999999999E-2</v>
      </c>
    </row>
    <row r="116" spans="1:7" ht="15.75" x14ac:dyDescent="0.25">
      <c r="A116" s="69" t="s">
        <v>83</v>
      </c>
      <c r="B116" s="17"/>
      <c r="C116" s="17"/>
      <c r="D116" s="38">
        <f t="shared" si="9"/>
        <v>1235.8071600000001</v>
      </c>
      <c r="E116" s="17"/>
      <c r="F116" s="53">
        <v>2.0299999999999999E-2</v>
      </c>
    </row>
    <row r="117" spans="1:7" ht="15.75" x14ac:dyDescent="0.25">
      <c r="A117" s="70" t="s">
        <v>64</v>
      </c>
      <c r="B117" s="17"/>
      <c r="C117" s="17"/>
      <c r="D117" s="38">
        <f t="shared" si="9"/>
        <v>7481.8078800000003</v>
      </c>
      <c r="E117" s="17"/>
      <c r="F117" s="53">
        <v>0.1229</v>
      </c>
    </row>
    <row r="118" spans="1:7" ht="15.75" x14ac:dyDescent="0.25">
      <c r="A118" s="70" t="s">
        <v>65</v>
      </c>
      <c r="B118" s="17"/>
      <c r="C118" s="17"/>
      <c r="D118" s="38">
        <f t="shared" si="9"/>
        <v>4577.9654400000009</v>
      </c>
      <c r="E118" s="17"/>
      <c r="F118" s="53">
        <v>7.5200000000000003E-2</v>
      </c>
    </row>
    <row r="119" spans="1:7" ht="15.75" x14ac:dyDescent="0.25">
      <c r="A119" s="35" t="s">
        <v>34</v>
      </c>
      <c r="B119" s="19">
        <f>B89+B88+B64+B35+B9</f>
        <v>51658.869990000007</v>
      </c>
      <c r="C119" s="19">
        <f>C89+C88+C64+C35+C9</f>
        <v>619906.43988000008</v>
      </c>
      <c r="D119" s="19">
        <f>D89+D88+D64+D35+D9</f>
        <v>238882.13280000002</v>
      </c>
      <c r="E119" s="17">
        <f>C119-D119</f>
        <v>381024.30708000006</v>
      </c>
      <c r="F119" s="55"/>
      <c r="G119" s="19"/>
    </row>
    <row r="120" spans="1:7" ht="15.75" x14ac:dyDescent="0.25">
      <c r="A120" s="31" t="s">
        <v>27</v>
      </c>
      <c r="B120" s="30">
        <f>тариф!B31</f>
        <v>5073.1000000000004</v>
      </c>
      <c r="C120" s="30">
        <f>тариф!B31</f>
        <v>5073.1000000000004</v>
      </c>
      <c r="D120" s="30">
        <f>тариф!B31</f>
        <v>5073.1000000000004</v>
      </c>
      <c r="E120" s="57"/>
      <c r="F120" s="16"/>
    </row>
    <row r="121" spans="1:7" ht="15.75" x14ac:dyDescent="0.25">
      <c r="A121" s="43" t="s">
        <v>38</v>
      </c>
      <c r="B121" s="44">
        <f>B119/B120</f>
        <v>10.1829</v>
      </c>
      <c r="C121" s="44">
        <f>C119/C120/12</f>
        <v>10.1829</v>
      </c>
      <c r="D121" s="44">
        <f>D119/D120/6</f>
        <v>7.8479999999999999</v>
      </c>
      <c r="E121" s="46"/>
      <c r="F121" s="21"/>
    </row>
    <row r="122" spans="1:7" ht="15.75" x14ac:dyDescent="0.25">
      <c r="A122" s="45"/>
      <c r="B122" s="52"/>
      <c r="C122" s="52"/>
      <c r="D122" s="52"/>
      <c r="E122" s="52"/>
      <c r="F122" s="21"/>
    </row>
    <row r="123" spans="1:7" ht="15.75" hidden="1" x14ac:dyDescent="0.25">
      <c r="A123" s="45"/>
      <c r="B123" s="52"/>
      <c r="C123" s="52"/>
      <c r="D123" s="52"/>
      <c r="E123" s="52"/>
      <c r="F123" s="21"/>
    </row>
    <row r="124" spans="1:7" ht="18.75" hidden="1" x14ac:dyDescent="0.3">
      <c r="A124" s="48" t="s">
        <v>47</v>
      </c>
      <c r="B124" s="1" t="s">
        <v>32</v>
      </c>
      <c r="C124" s="49" t="s">
        <v>48</v>
      </c>
      <c r="D124" s="49"/>
      <c r="E124" s="49"/>
      <c r="F124" s="1"/>
    </row>
    <row r="125" spans="1:7" ht="15.75" x14ac:dyDescent="0.25">
      <c r="A125" s="32"/>
      <c r="B125" s="51"/>
      <c r="C125" s="51"/>
      <c r="D125" s="51"/>
      <c r="E125" s="51"/>
    </row>
    <row r="126" spans="1:7" ht="15.75" x14ac:dyDescent="0.25">
      <c r="A126" s="15" t="s">
        <v>31</v>
      </c>
      <c r="B126" s="47" t="s">
        <v>45</v>
      </c>
      <c r="C126" s="47"/>
      <c r="D126" s="47" t="s">
        <v>73</v>
      </c>
      <c r="E126" s="47"/>
    </row>
    <row r="127" spans="1:7" ht="15.75" x14ac:dyDescent="0.25">
      <c r="A127" s="32"/>
      <c r="B127" s="51"/>
      <c r="C127" s="51"/>
      <c r="D127" s="51"/>
      <c r="E127" s="51"/>
    </row>
  </sheetData>
  <mergeCells count="4">
    <mergeCell ref="A2:E2"/>
    <mergeCell ref="A5:A7"/>
    <mergeCell ref="B5:C5"/>
    <mergeCell ref="B4:D4"/>
  </mergeCells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6" sqref="B6"/>
    </sheetView>
  </sheetViews>
  <sheetFormatPr defaultRowHeight="15" x14ac:dyDescent="0.25"/>
  <cols>
    <col min="1" max="1" width="78.140625" customWidth="1"/>
    <col min="2" max="2" width="18.7109375" customWidth="1"/>
    <col min="3" max="3" width="16" style="2" customWidth="1"/>
    <col min="4" max="4" width="18.42578125" customWidth="1"/>
    <col min="5" max="5" width="15.7109375" style="2" customWidth="1"/>
    <col min="6" max="6" width="18.85546875" customWidth="1"/>
    <col min="7" max="7" width="17.7109375" customWidth="1"/>
  </cols>
  <sheetData>
    <row r="1" spans="1:7" ht="15.75" x14ac:dyDescent="0.25">
      <c r="A1" s="14"/>
    </row>
    <row r="2" spans="1:7" ht="36.75" customHeight="1" x14ac:dyDescent="0.25">
      <c r="A2" s="113" t="s">
        <v>1</v>
      </c>
      <c r="B2" s="60" t="str">
        <f>'ТХ дома'!B2</f>
        <v>Красноармейский переулок, 2 1/2</v>
      </c>
      <c r="C2" s="63"/>
      <c r="D2" s="60" t="str">
        <f>'ТХ дома'!B2</f>
        <v>Красноармейский переулок, 2 1/2</v>
      </c>
      <c r="E2" s="63"/>
      <c r="F2" s="60" t="str">
        <f>'ТХ дома'!B2</f>
        <v>Красноармейский переулок, 2 1/2</v>
      </c>
      <c r="G2" s="63"/>
    </row>
    <row r="3" spans="1:7" ht="15.75" x14ac:dyDescent="0.25">
      <c r="A3" s="3"/>
      <c r="B3" s="115">
        <v>2020</v>
      </c>
      <c r="C3" s="63"/>
      <c r="D3" s="115">
        <v>2019</v>
      </c>
      <c r="E3" s="63"/>
      <c r="F3" s="115">
        <v>2016</v>
      </c>
      <c r="G3" s="63"/>
    </row>
    <row r="4" spans="1:7" x14ac:dyDescent="0.25">
      <c r="A4" s="4" t="s">
        <v>30</v>
      </c>
      <c r="B4" s="103" t="s">
        <v>29</v>
      </c>
      <c r="C4" s="63"/>
      <c r="D4" s="103" t="s">
        <v>29</v>
      </c>
      <c r="E4" s="63"/>
      <c r="F4" s="103" t="s">
        <v>29</v>
      </c>
      <c r="G4" s="63"/>
    </row>
    <row r="5" spans="1:7" ht="17.25" customHeight="1" x14ac:dyDescent="0.25">
      <c r="A5" s="5" t="s">
        <v>2</v>
      </c>
      <c r="B5" s="6">
        <f t="shared" ref="B5:D5" si="0">SUM(B6:B11)</f>
        <v>0.68479999999999996</v>
      </c>
      <c r="C5" s="64">
        <f>SUM(C6:C10)</f>
        <v>3474.0588800000005</v>
      </c>
      <c r="D5" s="6">
        <f t="shared" si="0"/>
        <v>0.68479999999999996</v>
      </c>
      <c r="E5" s="64">
        <f>SUM(E6:E10)</f>
        <v>3474.0588800000005</v>
      </c>
      <c r="F5" s="6">
        <f t="shared" ref="F5" si="1">SUM(F6:F11)</f>
        <v>0.67330116080511415</v>
      </c>
      <c r="G5" s="64">
        <f>SUM(G6:G10)</f>
        <v>3415.7241188804246</v>
      </c>
    </row>
    <row r="6" spans="1:7" ht="39" customHeight="1" x14ac:dyDescent="0.25">
      <c r="A6" s="7" t="s">
        <v>3</v>
      </c>
      <c r="B6" s="8">
        <v>6.0400000000000002E-2</v>
      </c>
      <c r="C6" s="38">
        <f>B6*$B$31</f>
        <v>306.41524000000004</v>
      </c>
      <c r="D6" s="8">
        <v>6.0400000000000002E-2</v>
      </c>
      <c r="E6" s="38">
        <f>D6*$B$31</f>
        <v>306.41524000000004</v>
      </c>
      <c r="F6" s="106">
        <v>5.9400000000000001E-2</v>
      </c>
      <c r="G6" s="38">
        <f>F6*$B$31</f>
        <v>301.34214000000003</v>
      </c>
    </row>
    <row r="7" spans="1:7" ht="18.75" customHeight="1" x14ac:dyDescent="0.25">
      <c r="A7" s="9" t="s">
        <v>4</v>
      </c>
      <c r="B7" s="8">
        <v>0.29399999999999998</v>
      </c>
      <c r="C7" s="38">
        <f t="shared" ref="C7:C29" si="2">B7*$B$31</f>
        <v>1491.4914000000001</v>
      </c>
      <c r="D7" s="8">
        <v>0.29399999999999998</v>
      </c>
      <c r="E7" s="38">
        <f t="shared" ref="E7:E11" si="3">D7*$B$31</f>
        <v>1491.4914000000001</v>
      </c>
      <c r="F7" s="106">
        <v>0.28910000000000002</v>
      </c>
      <c r="G7" s="38">
        <f t="shared" ref="G7:G11" si="4">F7*$B$31</f>
        <v>1466.6332100000002</v>
      </c>
    </row>
    <row r="8" spans="1:7" ht="25.5" x14ac:dyDescent="0.25">
      <c r="A8" s="7" t="s">
        <v>5</v>
      </c>
      <c r="B8" s="8">
        <v>2.8299999999999999E-2</v>
      </c>
      <c r="C8" s="38">
        <f t="shared" si="2"/>
        <v>143.56873000000002</v>
      </c>
      <c r="D8" s="8">
        <v>2.8299999999999999E-2</v>
      </c>
      <c r="E8" s="38">
        <f t="shared" si="3"/>
        <v>143.56873000000002</v>
      </c>
      <c r="F8" s="106">
        <v>2.7799999999999998E-2</v>
      </c>
      <c r="G8" s="38">
        <f t="shared" si="4"/>
        <v>141.03218000000001</v>
      </c>
    </row>
    <row r="9" spans="1:7" ht="15.75" x14ac:dyDescent="0.25">
      <c r="A9" s="9" t="s">
        <v>6</v>
      </c>
      <c r="B9" s="8">
        <v>0.1076</v>
      </c>
      <c r="C9" s="38">
        <f t="shared" si="2"/>
        <v>545.86556000000007</v>
      </c>
      <c r="D9" s="8">
        <v>0.1076</v>
      </c>
      <c r="E9" s="38">
        <f t="shared" si="3"/>
        <v>545.86556000000007</v>
      </c>
      <c r="F9" s="106">
        <v>0.10576780731094265</v>
      </c>
      <c r="G9" s="38">
        <f t="shared" si="4"/>
        <v>536.57066326914321</v>
      </c>
    </row>
    <row r="10" spans="1:7" ht="15.75" x14ac:dyDescent="0.25">
      <c r="A10" s="9" t="s">
        <v>7</v>
      </c>
      <c r="B10" s="8">
        <v>0.19450000000000001</v>
      </c>
      <c r="C10" s="38">
        <f t="shared" si="2"/>
        <v>986.71795000000009</v>
      </c>
      <c r="D10" s="8">
        <v>0.19450000000000001</v>
      </c>
      <c r="E10" s="38">
        <f t="shared" si="3"/>
        <v>986.71795000000009</v>
      </c>
      <c r="F10" s="106">
        <v>0.19123335349417145</v>
      </c>
      <c r="G10" s="38">
        <f t="shared" si="4"/>
        <v>970.1459256112812</v>
      </c>
    </row>
    <row r="11" spans="1:7" s="1" customFormat="1" ht="15.75" hidden="1" x14ac:dyDescent="0.25">
      <c r="A11" s="9"/>
      <c r="B11" s="8">
        <v>0</v>
      </c>
      <c r="C11" s="38">
        <f t="shared" si="2"/>
        <v>0</v>
      </c>
      <c r="D11" s="8">
        <v>0</v>
      </c>
      <c r="E11" s="56">
        <f t="shared" si="3"/>
        <v>0</v>
      </c>
      <c r="F11" s="8">
        <v>0</v>
      </c>
      <c r="G11" s="56">
        <f t="shared" si="4"/>
        <v>0</v>
      </c>
    </row>
    <row r="12" spans="1:7" ht="15.75" x14ac:dyDescent="0.25">
      <c r="A12" s="5" t="s">
        <v>8</v>
      </c>
      <c r="B12" s="6">
        <f t="shared" ref="B12:D12" si="5">SUM(B13:B20)</f>
        <v>1.8859999999999999</v>
      </c>
      <c r="C12" s="123">
        <f t="shared" si="5"/>
        <v>9567.8665999999994</v>
      </c>
      <c r="D12" s="6">
        <f t="shared" si="5"/>
        <v>1.8705999999999998</v>
      </c>
      <c r="E12" s="64">
        <f>SUM(E13:E20)</f>
        <v>9489.7408599999999</v>
      </c>
      <c r="F12" s="6">
        <f t="shared" ref="F12" si="6">SUM(F13:F20)</f>
        <v>1.7642461859995644</v>
      </c>
      <c r="G12" s="64">
        <f>SUM(G13:G20)</f>
        <v>8950.1973261943913</v>
      </c>
    </row>
    <row r="13" spans="1:7" ht="15.75" x14ac:dyDescent="0.25">
      <c r="A13" s="9" t="s">
        <v>9</v>
      </c>
      <c r="B13" s="8">
        <v>1.0225</v>
      </c>
      <c r="C13" s="38">
        <f t="shared" si="2"/>
        <v>5187.2447499999998</v>
      </c>
      <c r="D13" s="8">
        <v>1.0225</v>
      </c>
      <c r="E13" s="38">
        <f t="shared" ref="E13:E20" si="7">D13*$B$31</f>
        <v>5187.2447499999998</v>
      </c>
      <c r="F13" s="106">
        <v>1.0055015338333959</v>
      </c>
      <c r="G13" s="38">
        <f t="shared" ref="G13:G20" si="8">F13*$B$31</f>
        <v>5101.009831290201</v>
      </c>
    </row>
    <row r="14" spans="1:7" ht="15.75" x14ac:dyDescent="0.25">
      <c r="A14" s="9" t="s">
        <v>10</v>
      </c>
      <c r="B14" s="8">
        <v>1.7899999999999999E-2</v>
      </c>
      <c r="C14" s="38">
        <f t="shared" si="2"/>
        <v>90.808490000000006</v>
      </c>
      <c r="D14" s="8">
        <v>1.7899999999999999E-2</v>
      </c>
      <c r="E14" s="38">
        <f t="shared" si="7"/>
        <v>90.808490000000006</v>
      </c>
      <c r="F14" s="106">
        <v>1.7579065450155359E-2</v>
      </c>
      <c r="G14" s="38">
        <f t="shared" si="8"/>
        <v>89.180356935183156</v>
      </c>
    </row>
    <row r="15" spans="1:7" ht="15.75" x14ac:dyDescent="0.25">
      <c r="A15" s="9" t="s">
        <v>11</v>
      </c>
      <c r="B15" s="8">
        <v>0.38890000000000002</v>
      </c>
      <c r="C15" s="38">
        <f t="shared" si="2"/>
        <v>1972.9285900000002</v>
      </c>
      <c r="D15" s="8">
        <v>0.38890000000000002</v>
      </c>
      <c r="E15" s="38">
        <f t="shared" si="7"/>
        <v>1972.9285900000002</v>
      </c>
      <c r="F15" s="106">
        <v>0.38243101707997695</v>
      </c>
      <c r="G15" s="38">
        <f t="shared" si="8"/>
        <v>1940.1107927484313</v>
      </c>
    </row>
    <row r="16" spans="1:7" ht="15.75" x14ac:dyDescent="0.25">
      <c r="A16" s="10" t="s">
        <v>12</v>
      </c>
      <c r="B16" s="8">
        <v>8.3299999999999999E-2</v>
      </c>
      <c r="C16" s="38">
        <f t="shared" si="2"/>
        <v>422.58923000000004</v>
      </c>
      <c r="D16" s="8">
        <v>8.3299999999999999E-2</v>
      </c>
      <c r="E16" s="38">
        <f t="shared" si="7"/>
        <v>422.58923000000004</v>
      </c>
      <c r="F16" s="107">
        <v>8.1934569636036167E-2</v>
      </c>
      <c r="G16" s="38">
        <f t="shared" si="8"/>
        <v>415.66226522057514</v>
      </c>
    </row>
    <row r="17" spans="1:7" ht="15.75" x14ac:dyDescent="0.25">
      <c r="A17" s="9" t="s">
        <v>13</v>
      </c>
      <c r="B17" s="8">
        <v>0</v>
      </c>
      <c r="C17" s="38">
        <f t="shared" si="2"/>
        <v>0</v>
      </c>
      <c r="D17" s="8">
        <v>0</v>
      </c>
      <c r="E17" s="38">
        <f t="shared" si="7"/>
        <v>0</v>
      </c>
      <c r="F17" s="108">
        <v>0</v>
      </c>
      <c r="G17" s="38">
        <f t="shared" si="8"/>
        <v>0</v>
      </c>
    </row>
    <row r="18" spans="1:7" ht="15.75" x14ac:dyDescent="0.25">
      <c r="A18" s="9" t="s">
        <v>14</v>
      </c>
      <c r="B18" s="8">
        <v>0</v>
      </c>
      <c r="C18" s="38">
        <f t="shared" si="2"/>
        <v>0</v>
      </c>
      <c r="D18" s="8">
        <v>0</v>
      </c>
      <c r="E18" s="38">
        <f t="shared" si="7"/>
        <v>0</v>
      </c>
      <c r="F18" s="8">
        <v>0</v>
      </c>
      <c r="G18" s="38">
        <f t="shared" si="8"/>
        <v>0</v>
      </c>
    </row>
    <row r="19" spans="1:7" ht="15.75" x14ac:dyDescent="0.25">
      <c r="A19" s="9" t="s">
        <v>15</v>
      </c>
      <c r="B19" s="8">
        <v>0.15679999999999999</v>
      </c>
      <c r="C19" s="38">
        <f t="shared" si="2"/>
        <v>795.46208000000001</v>
      </c>
      <c r="D19" s="8">
        <v>0.1414</v>
      </c>
      <c r="E19" s="38">
        <f t="shared" si="7"/>
        <v>717.33634000000006</v>
      </c>
      <c r="F19" s="8">
        <v>6.3799999999999996E-2</v>
      </c>
      <c r="G19" s="38">
        <f t="shared" si="8"/>
        <v>323.66377999999997</v>
      </c>
    </row>
    <row r="20" spans="1:7" ht="15.75" x14ac:dyDescent="0.25">
      <c r="A20" s="10" t="s">
        <v>16</v>
      </c>
      <c r="B20" s="8">
        <v>0.21659999999999999</v>
      </c>
      <c r="C20" s="38">
        <f t="shared" si="2"/>
        <v>1098.8334600000001</v>
      </c>
      <c r="D20" s="8">
        <v>0.21659999999999999</v>
      </c>
      <c r="E20" s="38">
        <f t="shared" si="7"/>
        <v>1098.8334600000001</v>
      </c>
      <c r="F20" s="109">
        <v>0.21299999999999999</v>
      </c>
      <c r="G20" s="38">
        <f t="shared" si="8"/>
        <v>1080.5703000000001</v>
      </c>
    </row>
    <row r="21" spans="1:7" ht="28.5" x14ac:dyDescent="0.25">
      <c r="A21" s="5" t="s">
        <v>17</v>
      </c>
      <c r="B21" s="6">
        <f t="shared" ref="B21:G21" si="9">SUM(B22:B27)</f>
        <v>3.1623000000000001</v>
      </c>
      <c r="C21" s="64">
        <f t="shared" si="9"/>
        <v>16042.664130000001</v>
      </c>
      <c r="D21" s="110">
        <f t="shared" si="9"/>
        <v>3.1623000000000001</v>
      </c>
      <c r="E21" s="64">
        <f t="shared" si="9"/>
        <v>16042.664130000001</v>
      </c>
      <c r="F21" s="110">
        <f t="shared" si="9"/>
        <v>3.1096008569675613</v>
      </c>
      <c r="G21" s="64">
        <f t="shared" si="9"/>
        <v>15775.316107482136</v>
      </c>
    </row>
    <row r="22" spans="1:7" ht="15.75" x14ac:dyDescent="0.25">
      <c r="A22" s="9" t="s">
        <v>18</v>
      </c>
      <c r="B22" s="8">
        <v>0</v>
      </c>
      <c r="C22" s="38">
        <f t="shared" si="2"/>
        <v>0</v>
      </c>
      <c r="D22" s="8">
        <v>0</v>
      </c>
      <c r="E22" s="38">
        <f t="shared" ref="E22:E27" si="10">D22*$B$31</f>
        <v>0</v>
      </c>
      <c r="F22" s="108">
        <v>0</v>
      </c>
      <c r="G22" s="38">
        <f t="shared" ref="G22:G27" si="11">F22*$B$31</f>
        <v>0</v>
      </c>
    </row>
    <row r="23" spans="1:7" ht="15.75" x14ac:dyDescent="0.25">
      <c r="A23" s="9" t="s">
        <v>19</v>
      </c>
      <c r="B23" s="8">
        <v>1.4604999999999999</v>
      </c>
      <c r="C23" s="38">
        <f t="shared" si="2"/>
        <v>7409.2625500000004</v>
      </c>
      <c r="D23" s="8">
        <v>1.4604999999999999</v>
      </c>
      <c r="E23" s="38">
        <f t="shared" si="10"/>
        <v>7409.2625500000004</v>
      </c>
      <c r="F23" s="108">
        <v>1.4361727393274879</v>
      </c>
      <c r="G23" s="38">
        <f t="shared" si="11"/>
        <v>7285.8479238822792</v>
      </c>
    </row>
    <row r="24" spans="1:7" ht="15.75" x14ac:dyDescent="0.25">
      <c r="A24" s="9" t="s">
        <v>20</v>
      </c>
      <c r="B24" s="8">
        <v>7.5999999999999998E-2</v>
      </c>
      <c r="C24" s="38">
        <f t="shared" si="2"/>
        <v>385.55560000000003</v>
      </c>
      <c r="D24" s="8">
        <v>7.5999999999999998E-2</v>
      </c>
      <c r="E24" s="38">
        <f t="shared" si="10"/>
        <v>385.55560000000003</v>
      </c>
      <c r="F24" s="108">
        <v>7.4700000000000003E-2</v>
      </c>
      <c r="G24" s="38">
        <f t="shared" si="11"/>
        <v>378.96057000000002</v>
      </c>
    </row>
    <row r="25" spans="1:7" ht="15.75" x14ac:dyDescent="0.25">
      <c r="A25" s="9" t="s">
        <v>21</v>
      </c>
      <c r="B25" s="8">
        <v>0</v>
      </c>
      <c r="C25" s="38">
        <f t="shared" si="2"/>
        <v>0</v>
      </c>
      <c r="D25" s="8">
        <v>0</v>
      </c>
      <c r="E25" s="38">
        <f t="shared" si="10"/>
        <v>0</v>
      </c>
      <c r="F25" s="108">
        <v>0</v>
      </c>
      <c r="G25" s="38">
        <f t="shared" si="11"/>
        <v>0</v>
      </c>
    </row>
    <row r="26" spans="1:7" ht="15.75" x14ac:dyDescent="0.25">
      <c r="A26" s="9" t="s">
        <v>22</v>
      </c>
      <c r="B26" s="8">
        <v>0.21029999999999999</v>
      </c>
      <c r="C26" s="38">
        <f t="shared" si="2"/>
        <v>1066.87293</v>
      </c>
      <c r="D26" s="8">
        <v>0.21029999999999999</v>
      </c>
      <c r="E26" s="38">
        <f t="shared" si="10"/>
        <v>1066.87293</v>
      </c>
      <c r="F26" s="108">
        <v>0.20680000000000001</v>
      </c>
      <c r="G26" s="38">
        <f t="shared" si="11"/>
        <v>1049.1170800000002</v>
      </c>
    </row>
    <row r="27" spans="1:7" ht="15.75" x14ac:dyDescent="0.25">
      <c r="A27" s="9" t="s">
        <v>23</v>
      </c>
      <c r="B27" s="8">
        <v>1.4155</v>
      </c>
      <c r="C27" s="38">
        <f t="shared" si="2"/>
        <v>7180.9730500000005</v>
      </c>
      <c r="D27" s="8">
        <v>1.4155</v>
      </c>
      <c r="E27" s="38">
        <f t="shared" si="10"/>
        <v>7180.9730500000005</v>
      </c>
      <c r="F27" s="108">
        <v>1.3919281176400735</v>
      </c>
      <c r="G27" s="38">
        <f t="shared" si="11"/>
        <v>7061.390533599857</v>
      </c>
    </row>
    <row r="28" spans="1:7" ht="15.75" x14ac:dyDescent="0.25">
      <c r="A28" s="5" t="s">
        <v>24</v>
      </c>
      <c r="B28" s="8">
        <v>1.1619999999999999</v>
      </c>
      <c r="C28" s="38">
        <f>B28*$B$31</f>
        <v>5894.9422000000004</v>
      </c>
      <c r="D28" s="8">
        <v>1.1619999999999999</v>
      </c>
      <c r="E28" s="38">
        <f>D28*$B$31</f>
        <v>5894.9422000000004</v>
      </c>
      <c r="F28" s="108">
        <v>1.1426000000000001</v>
      </c>
      <c r="G28" s="38">
        <f>F28*$B$31</f>
        <v>5796.5240600000006</v>
      </c>
    </row>
    <row r="29" spans="1:7" ht="15.75" x14ac:dyDescent="0.25">
      <c r="A29" s="5" t="s">
        <v>25</v>
      </c>
      <c r="B29" s="8">
        <v>3.3031999999999999</v>
      </c>
      <c r="C29" s="38">
        <f t="shared" si="2"/>
        <v>16757.463920000002</v>
      </c>
      <c r="D29" s="8">
        <v>3.3031999999999999</v>
      </c>
      <c r="E29" s="38">
        <f t="shared" ref="E29" si="12">D29*$B$31</f>
        <v>16757.463920000002</v>
      </c>
      <c r="F29" s="108">
        <v>3.2481</v>
      </c>
      <c r="G29" s="38">
        <f t="shared" ref="G29" si="13">F29*$B$31</f>
        <v>16477.936110000002</v>
      </c>
    </row>
    <row r="30" spans="1:7" ht="15.75" x14ac:dyDescent="0.25">
      <c r="A30" s="11" t="s">
        <v>26</v>
      </c>
      <c r="B30" s="12">
        <f t="shared" ref="B30:D30" si="14">B29+B28+B27+B26+B25+B24+B23+B22+B20+B19+B18+B17+B16+B15+B14+B13+B11+B10+B9+B8+B7+B6</f>
        <v>10.198299999999996</v>
      </c>
      <c r="C30" s="65">
        <f>C29+C28+C27+C26+C25+C24+C23+C22+C20+C19+C18+C17+C16+C15+C14+C13+C10+C9+C8+C7+C6</f>
        <v>51736.995730000002</v>
      </c>
      <c r="D30" s="12">
        <f t="shared" si="14"/>
        <v>10.182899999999997</v>
      </c>
      <c r="E30" s="65">
        <f>E29+E28+E27+E26+E25+E24+E23+E22+E20+E19+E18+E17+E16+E15+E14+E13+E10+E9+E8+E7+E6</f>
        <v>51658.869990000007</v>
      </c>
      <c r="F30" s="12">
        <f t="shared" ref="F30" si="15">F29+F28+F27+F26+F25+F24+F23+F22+F20+F19+F18+F17+F16+F15+F14+F13+F11+F10+F9+F8+F7+F6</f>
        <v>9.9378482037722371</v>
      </c>
      <c r="G30" s="65">
        <f>G29+G28+G27+G26+G25+G24+G23+G22+G20+G19+G18+G17+G16+G15+G14+G13+G10+G9+G8+G7+G6</f>
        <v>50415.697722556964</v>
      </c>
    </row>
    <row r="31" spans="1:7" ht="15.75" x14ac:dyDescent="0.25">
      <c r="A31" s="5" t="s">
        <v>27</v>
      </c>
      <c r="B31" s="62">
        <f>'ТХ дома'!B8</f>
        <v>5073.1000000000004</v>
      </c>
      <c r="C31" s="66"/>
      <c r="D31" s="62">
        <f>'ТХ дома'!B8</f>
        <v>5073.1000000000004</v>
      </c>
      <c r="E31" s="66"/>
      <c r="F31" s="62">
        <f>'ТХ дома'!B8</f>
        <v>5073.1000000000004</v>
      </c>
      <c r="G31" s="66"/>
    </row>
    <row r="32" spans="1:7" ht="15.75" hidden="1" x14ac:dyDescent="0.25">
      <c r="A32" s="13" t="s">
        <v>28</v>
      </c>
      <c r="B32" s="38">
        <f>B30*B31</f>
        <v>51736.995729999981</v>
      </c>
      <c r="C32" s="38">
        <f t="shared" ref="C32:E32" si="16">C30*C31</f>
        <v>0</v>
      </c>
      <c r="D32" s="38">
        <f t="shared" si="16"/>
        <v>51658.869989999985</v>
      </c>
      <c r="E32" s="38">
        <f t="shared" si="16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9" sqref="B9"/>
    </sheetView>
  </sheetViews>
  <sheetFormatPr defaultRowHeight="15" x14ac:dyDescent="0.25"/>
  <cols>
    <col min="1" max="1" width="54.7109375" customWidth="1"/>
    <col min="2" max="2" width="26" customWidth="1"/>
    <col min="3" max="3" width="9.140625" style="120"/>
  </cols>
  <sheetData>
    <row r="1" spans="1:3" x14ac:dyDescent="0.25">
      <c r="B1">
        <v>2020</v>
      </c>
    </row>
    <row r="2" spans="1:3" ht="42" customHeight="1" x14ac:dyDescent="0.25">
      <c r="A2" s="78" t="s">
        <v>1</v>
      </c>
      <c r="B2" s="94" t="s">
        <v>150</v>
      </c>
    </row>
    <row r="3" spans="1:3" ht="19.5" customHeight="1" x14ac:dyDescent="0.25">
      <c r="A3" s="105" t="s">
        <v>92</v>
      </c>
      <c r="B3" s="86">
        <v>94</v>
      </c>
    </row>
    <row r="4" spans="1:3" ht="18.75" customHeight="1" x14ac:dyDescent="0.25">
      <c r="A4" s="79" t="s">
        <v>93</v>
      </c>
      <c r="B4" s="87">
        <v>2020</v>
      </c>
    </row>
    <row r="5" spans="1:3" ht="18.75" customHeight="1" x14ac:dyDescent="0.25">
      <c r="A5" s="79" t="s">
        <v>94</v>
      </c>
      <c r="B5" s="87">
        <v>1968</v>
      </c>
    </row>
    <row r="6" spans="1:3" ht="18" customHeight="1" x14ac:dyDescent="0.25">
      <c r="A6" s="79" t="s">
        <v>95</v>
      </c>
      <c r="B6" s="88">
        <v>52</v>
      </c>
    </row>
    <row r="7" spans="1:3" ht="16.5" customHeight="1" x14ac:dyDescent="0.25">
      <c r="A7" s="79" t="s">
        <v>96</v>
      </c>
      <c r="B7" s="89">
        <v>6256</v>
      </c>
      <c r="C7" s="121"/>
    </row>
    <row r="8" spans="1:3" ht="18" customHeight="1" x14ac:dyDescent="0.25">
      <c r="A8" s="79" t="s">
        <v>97</v>
      </c>
      <c r="B8" s="89">
        <v>5073.1000000000004</v>
      </c>
      <c r="C8" s="121"/>
    </row>
    <row r="9" spans="1:3" ht="18" customHeight="1" x14ac:dyDescent="0.25">
      <c r="A9" s="79" t="s">
        <v>98</v>
      </c>
      <c r="B9" s="89" t="s">
        <v>126</v>
      </c>
    </row>
    <row r="10" spans="1:3" ht="16.5" customHeight="1" x14ac:dyDescent="0.25">
      <c r="A10" s="79" t="s">
        <v>127</v>
      </c>
      <c r="B10" s="87">
        <v>5052.7</v>
      </c>
      <c r="C10" s="122"/>
    </row>
    <row r="11" spans="1:3" ht="16.5" customHeight="1" x14ac:dyDescent="0.25">
      <c r="A11" s="79" t="s">
        <v>99</v>
      </c>
      <c r="B11" s="89">
        <v>5</v>
      </c>
    </row>
    <row r="12" spans="1:3" ht="16.5" customHeight="1" x14ac:dyDescent="0.25">
      <c r="A12" s="79" t="s">
        <v>100</v>
      </c>
      <c r="B12" s="89">
        <v>122</v>
      </c>
      <c r="C12" s="121"/>
    </row>
    <row r="13" spans="1:3" ht="16.5" customHeight="1" x14ac:dyDescent="0.25">
      <c r="A13" s="79" t="s">
        <v>101</v>
      </c>
      <c r="B13" s="89">
        <v>122</v>
      </c>
      <c r="C13" s="121"/>
    </row>
    <row r="14" spans="1:3" ht="15" customHeight="1" x14ac:dyDescent="0.25">
      <c r="A14" s="80" t="s">
        <v>102</v>
      </c>
      <c r="B14" s="89">
        <v>122</v>
      </c>
      <c r="C14" s="121"/>
    </row>
    <row r="15" spans="1:3" ht="16.5" customHeight="1" x14ac:dyDescent="0.25">
      <c r="A15" s="80" t="s">
        <v>103</v>
      </c>
      <c r="B15" s="89">
        <v>0</v>
      </c>
      <c r="C15" s="121"/>
    </row>
    <row r="16" spans="1:3" ht="15.75" customHeight="1" x14ac:dyDescent="0.25">
      <c r="A16" s="80" t="s">
        <v>104</v>
      </c>
      <c r="B16" s="89">
        <v>122</v>
      </c>
      <c r="C16" s="121"/>
    </row>
    <row r="17" spans="1:3" ht="15.75" customHeight="1" x14ac:dyDescent="0.25">
      <c r="A17" s="80" t="s">
        <v>105</v>
      </c>
      <c r="B17" s="89">
        <v>0</v>
      </c>
      <c r="C17" s="121"/>
    </row>
    <row r="18" spans="1:3" ht="16.5" customHeight="1" x14ac:dyDescent="0.25">
      <c r="A18" s="79" t="s">
        <v>106</v>
      </c>
      <c r="B18" s="89">
        <v>194</v>
      </c>
      <c r="C18" s="121"/>
    </row>
    <row r="19" spans="1:3" ht="18" customHeight="1" x14ac:dyDescent="0.25">
      <c r="A19" s="79" t="s">
        <v>107</v>
      </c>
      <c r="B19" s="90">
        <v>1310.6600000000001</v>
      </c>
    </row>
    <row r="20" spans="1:3" ht="15.75" customHeight="1" x14ac:dyDescent="0.25">
      <c r="A20" s="81" t="s">
        <v>108</v>
      </c>
      <c r="B20" s="89">
        <v>0</v>
      </c>
    </row>
    <row r="21" spans="1:3" ht="18" customHeight="1" x14ac:dyDescent="0.25">
      <c r="A21" s="81" t="s">
        <v>109</v>
      </c>
      <c r="B21" s="89">
        <v>0</v>
      </c>
    </row>
    <row r="22" spans="1:3" ht="18" customHeight="1" x14ac:dyDescent="0.25">
      <c r="A22" s="81" t="s">
        <v>110</v>
      </c>
      <c r="B22" s="89">
        <v>1310.6600000000001</v>
      </c>
      <c r="C22" s="121"/>
    </row>
    <row r="23" spans="1:3" ht="18" customHeight="1" x14ac:dyDescent="0.25">
      <c r="A23" s="79" t="s">
        <v>111</v>
      </c>
      <c r="B23" s="90">
        <v>6256</v>
      </c>
    </row>
    <row r="24" spans="1:3" ht="18.75" customHeight="1" x14ac:dyDescent="0.25">
      <c r="A24" s="81" t="s">
        <v>112</v>
      </c>
      <c r="B24" s="89">
        <v>0</v>
      </c>
    </row>
    <row r="25" spans="1:3" ht="15.75" customHeight="1" x14ac:dyDescent="0.25">
      <c r="A25" s="82" t="s">
        <v>113</v>
      </c>
      <c r="B25" s="91">
        <v>6256</v>
      </c>
    </row>
    <row r="26" spans="1:3" ht="19.5" customHeight="1" x14ac:dyDescent="0.25">
      <c r="A26" s="83" t="s">
        <v>114</v>
      </c>
      <c r="B26" s="87">
        <v>0</v>
      </c>
    </row>
    <row r="27" spans="1:3" ht="15" customHeight="1" x14ac:dyDescent="0.25">
      <c r="A27" s="79" t="s">
        <v>115</v>
      </c>
      <c r="B27" s="87">
        <v>950</v>
      </c>
      <c r="C27" s="122"/>
    </row>
    <row r="28" spans="1:3" ht="16.5" customHeight="1" x14ac:dyDescent="0.25">
      <c r="A28" s="79" t="s">
        <v>116</v>
      </c>
      <c r="B28" s="89">
        <v>1203.3</v>
      </c>
      <c r="C28" s="121"/>
    </row>
    <row r="29" spans="1:3" ht="15.75" customHeight="1" x14ac:dyDescent="0.25">
      <c r="A29" s="84" t="s">
        <v>117</v>
      </c>
      <c r="B29" s="92">
        <v>2100</v>
      </c>
      <c r="C29" s="121"/>
    </row>
    <row r="30" spans="1:3" ht="15" customHeight="1" x14ac:dyDescent="0.25">
      <c r="A30" s="117" t="s">
        <v>118</v>
      </c>
      <c r="B30" s="104">
        <v>2100</v>
      </c>
      <c r="C30" s="121"/>
    </row>
    <row r="31" spans="1:3" ht="15" customHeight="1" x14ac:dyDescent="0.25">
      <c r="A31" s="80" t="s">
        <v>119</v>
      </c>
      <c r="B31" s="89">
        <v>0</v>
      </c>
    </row>
    <row r="32" spans="1:3" ht="15" customHeight="1" x14ac:dyDescent="0.25">
      <c r="A32" s="80" t="s">
        <v>120</v>
      </c>
      <c r="B32" s="89">
        <v>0</v>
      </c>
    </row>
    <row r="33" spans="1:2" ht="16.5" customHeight="1" x14ac:dyDescent="0.25">
      <c r="A33" s="79" t="s">
        <v>121</v>
      </c>
      <c r="B33" s="89">
        <v>0</v>
      </c>
    </row>
    <row r="34" spans="1:2" ht="15.75" customHeight="1" x14ac:dyDescent="0.25">
      <c r="A34" s="85" t="s">
        <v>122</v>
      </c>
      <c r="B34" s="89">
        <v>0</v>
      </c>
    </row>
    <row r="35" spans="1:2" ht="13.5" customHeight="1" x14ac:dyDescent="0.25">
      <c r="A35" s="85" t="s">
        <v>123</v>
      </c>
      <c r="B35" s="89">
        <v>0</v>
      </c>
    </row>
    <row r="36" spans="1:2" ht="15.75" customHeight="1" x14ac:dyDescent="0.25">
      <c r="A36" s="84" t="s">
        <v>124</v>
      </c>
      <c r="B36" s="93">
        <v>2</v>
      </c>
    </row>
    <row r="37" spans="1:2" ht="16.5" customHeight="1" x14ac:dyDescent="0.25">
      <c r="A37" s="84" t="s">
        <v>125</v>
      </c>
      <c r="B37" s="89">
        <v>2</v>
      </c>
    </row>
    <row r="38" spans="1:2" ht="15.75" x14ac:dyDescent="0.25">
      <c r="A38" s="96" t="s">
        <v>128</v>
      </c>
      <c r="B38" s="118"/>
    </row>
    <row r="39" spans="1:2" ht="15.75" x14ac:dyDescent="0.25">
      <c r="A39" s="95" t="s">
        <v>129</v>
      </c>
      <c r="B39" s="118">
        <v>2206</v>
      </c>
    </row>
    <row r="40" spans="1:2" ht="15.75" x14ac:dyDescent="0.25">
      <c r="A40" s="95" t="s">
        <v>145</v>
      </c>
      <c r="B40" s="119">
        <v>4.8499999999999996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5"/>
  <sheetViews>
    <sheetView tabSelected="1" topLeftCell="A25" workbookViewId="0">
      <selection sqref="A1:D125"/>
    </sheetView>
  </sheetViews>
  <sheetFormatPr defaultRowHeight="15" x14ac:dyDescent="0.25"/>
  <cols>
    <col min="1" max="1" width="59.7109375" customWidth="1"/>
    <col min="2" max="2" width="20.7109375" hidden="1" customWidth="1"/>
    <col min="3" max="3" width="20.7109375" customWidth="1"/>
    <col min="4" max="4" width="23" customWidth="1"/>
  </cols>
  <sheetData>
    <row r="1" spans="1:4" ht="18.75" x14ac:dyDescent="0.25">
      <c r="A1" s="130" t="s">
        <v>46</v>
      </c>
      <c r="B1" s="130"/>
      <c r="C1" s="130"/>
      <c r="D1" s="130"/>
    </row>
    <row r="2" spans="1:4" ht="15.75" x14ac:dyDescent="0.25">
      <c r="A2" s="139" t="s">
        <v>151</v>
      </c>
      <c r="B2" s="139"/>
      <c r="C2" s="139"/>
      <c r="D2" s="139"/>
    </row>
    <row r="3" spans="1:4" ht="27" customHeight="1" x14ac:dyDescent="0.25">
      <c r="A3" s="138" t="s">
        <v>156</v>
      </c>
      <c r="B3" s="138"/>
      <c r="C3" s="138"/>
      <c r="D3" s="138"/>
    </row>
    <row r="4" spans="1:4" ht="15.75" x14ac:dyDescent="0.25">
      <c r="A4" s="61" t="s">
        <v>1</v>
      </c>
      <c r="B4" s="136" t="str">
        <f>тариф!B2</f>
        <v>Красноармейский переулок, 2 1/2</v>
      </c>
      <c r="C4" s="137"/>
      <c r="D4" s="137"/>
    </row>
    <row r="5" spans="1:4" ht="15.75" x14ac:dyDescent="0.25">
      <c r="A5" s="131" t="s">
        <v>30</v>
      </c>
      <c r="B5" s="134" t="s">
        <v>43</v>
      </c>
      <c r="C5" s="135"/>
      <c r="D5" s="54" t="s">
        <v>44</v>
      </c>
    </row>
    <row r="6" spans="1:4" ht="15.75" x14ac:dyDescent="0.25">
      <c r="A6" s="132"/>
      <c r="B6" s="26" t="s">
        <v>42</v>
      </c>
      <c r="C6" s="26" t="s">
        <v>41</v>
      </c>
      <c r="D6" s="26" t="s">
        <v>41</v>
      </c>
    </row>
    <row r="7" spans="1:4" ht="15.75" x14ac:dyDescent="0.25">
      <c r="A7" s="133"/>
      <c r="B7" s="37" t="s">
        <v>33</v>
      </c>
      <c r="C7" s="37" t="s">
        <v>33</v>
      </c>
      <c r="D7" s="37" t="s">
        <v>33</v>
      </c>
    </row>
    <row r="8" spans="1:4" ht="15.75" x14ac:dyDescent="0.25">
      <c r="A8" s="58">
        <v>1</v>
      </c>
      <c r="B8" s="59">
        <v>2</v>
      </c>
      <c r="C8" s="59">
        <v>3</v>
      </c>
      <c r="D8" s="59">
        <v>4</v>
      </c>
    </row>
    <row r="9" spans="1:4" ht="17.25" customHeight="1" x14ac:dyDescent="0.25">
      <c r="A9" s="31" t="s">
        <v>2</v>
      </c>
      <c r="B9" s="17">
        <f>B10+B15+B20+B25+B30</f>
        <v>3136.4266975000005</v>
      </c>
      <c r="C9" s="17">
        <f>C10+C15+C20+C25+C30</f>
        <v>37637.120370000004</v>
      </c>
      <c r="D9" s="17">
        <f t="shared" ref="D9" si="0">D10+D15+D20+D25+D30</f>
        <v>0</v>
      </c>
    </row>
    <row r="10" spans="1:4" ht="70.5" customHeight="1" x14ac:dyDescent="0.25">
      <c r="A10" s="33" t="s">
        <v>146</v>
      </c>
      <c r="B10" s="38">
        <f>0.0957*B122</f>
        <v>485.49567000000002</v>
      </c>
      <c r="C10" s="38">
        <f>B10*12</f>
        <v>5825.9480400000002</v>
      </c>
      <c r="D10" s="38">
        <f>SUM(D11:D14)</f>
        <v>0</v>
      </c>
    </row>
    <row r="11" spans="1:4" ht="21.75" hidden="1" customHeight="1" x14ac:dyDescent="0.25">
      <c r="A11" s="39" t="s">
        <v>35</v>
      </c>
      <c r="B11" s="38">
        <v>9.5699999999999993E-2</v>
      </c>
      <c r="C11" s="38"/>
      <c r="D11" s="38"/>
    </row>
    <row r="12" spans="1:4" ht="21.75" hidden="1" customHeight="1" x14ac:dyDescent="0.25">
      <c r="A12" s="39" t="s">
        <v>36</v>
      </c>
      <c r="B12" s="38">
        <v>9.5699999999999993E-2</v>
      </c>
      <c r="C12" s="38"/>
      <c r="D12" s="38"/>
    </row>
    <row r="13" spans="1:4" ht="21.75" hidden="1" customHeight="1" x14ac:dyDescent="0.25">
      <c r="A13" s="39" t="s">
        <v>37</v>
      </c>
      <c r="B13" s="38">
        <v>9.5699999999999993E-2</v>
      </c>
      <c r="C13" s="38"/>
      <c r="D13" s="38"/>
    </row>
    <row r="14" spans="1:4" ht="21.75" hidden="1" customHeight="1" x14ac:dyDescent="0.25">
      <c r="A14" s="39" t="s">
        <v>0</v>
      </c>
      <c r="B14" s="38">
        <v>9.5699999999999993E-2</v>
      </c>
      <c r="C14" s="38"/>
      <c r="D14" s="38"/>
    </row>
    <row r="15" spans="1:4" ht="33" customHeight="1" x14ac:dyDescent="0.25">
      <c r="A15" s="33" t="s">
        <v>4</v>
      </c>
      <c r="B15" s="38">
        <f>(0.294*9)+(0.4912*3)/12*B122</f>
        <v>625.62268000000006</v>
      </c>
      <c r="C15" s="38">
        <f>B15*12</f>
        <v>7507.4721600000012</v>
      </c>
      <c r="D15" s="38">
        <f>SUM(D16:D19)</f>
        <v>0</v>
      </c>
    </row>
    <row r="16" spans="1:4" ht="16.5" hidden="1" customHeight="1" x14ac:dyDescent="0.25">
      <c r="A16" s="40" t="s">
        <v>35</v>
      </c>
      <c r="B16" s="38"/>
      <c r="C16" s="38"/>
      <c r="D16" s="38"/>
    </row>
    <row r="17" spans="1:4" ht="16.5" hidden="1" customHeight="1" x14ac:dyDescent="0.25">
      <c r="A17" s="40" t="s">
        <v>36</v>
      </c>
      <c r="B17" s="38"/>
      <c r="C17" s="38"/>
      <c r="D17" s="38"/>
    </row>
    <row r="18" spans="1:4" ht="16.5" hidden="1" customHeight="1" x14ac:dyDescent="0.25">
      <c r="A18" s="40" t="s">
        <v>37</v>
      </c>
      <c r="B18" s="38"/>
      <c r="C18" s="38"/>
      <c r="D18" s="38"/>
    </row>
    <row r="19" spans="1:4" ht="16.5" hidden="1" customHeight="1" x14ac:dyDescent="0.25">
      <c r="A19" s="40" t="s">
        <v>0</v>
      </c>
      <c r="B19" s="38"/>
      <c r="C19" s="38"/>
      <c r="D19" s="38"/>
    </row>
    <row r="20" spans="1:4" ht="48" customHeight="1" x14ac:dyDescent="0.25">
      <c r="A20" s="33" t="s">
        <v>5</v>
      </c>
      <c r="B20" s="38">
        <f>(0.0283*9+0.0942*3)/12*B122</f>
        <v>227.14805250000003</v>
      </c>
      <c r="C20" s="38">
        <f>B20*12</f>
        <v>2725.7766300000003</v>
      </c>
      <c r="D20" s="38">
        <v>0</v>
      </c>
    </row>
    <row r="21" spans="1:4" ht="16.5" hidden="1" customHeight="1" x14ac:dyDescent="0.25">
      <c r="A21" s="40" t="s">
        <v>35</v>
      </c>
      <c r="B21" s="38">
        <f>(0.0283*9+0.0942*3)/12*B123</f>
        <v>0</v>
      </c>
      <c r="C21" s="38"/>
      <c r="D21" s="38"/>
    </row>
    <row r="22" spans="1:4" ht="16.5" hidden="1" customHeight="1" x14ac:dyDescent="0.25">
      <c r="A22" s="40" t="s">
        <v>36</v>
      </c>
      <c r="B22" s="38">
        <f>(0.0283*9+0.0942*3)/12*B124</f>
        <v>0</v>
      </c>
      <c r="C22" s="38"/>
      <c r="D22" s="38"/>
    </row>
    <row r="23" spans="1:4" ht="16.5" hidden="1" customHeight="1" x14ac:dyDescent="0.25">
      <c r="A23" s="40" t="s">
        <v>37</v>
      </c>
      <c r="B23" s="38">
        <f>(0.0283*9+0.0942*3)/12*B125</f>
        <v>0</v>
      </c>
      <c r="C23" s="38"/>
      <c r="D23" s="38"/>
    </row>
    <row r="24" spans="1:4" ht="16.5" hidden="1" customHeight="1" x14ac:dyDescent="0.25">
      <c r="A24" s="40" t="s">
        <v>0</v>
      </c>
      <c r="B24" s="38">
        <f>(0.0283*9+0.0942*3)/12*B126</f>
        <v>0</v>
      </c>
      <c r="C24" s="38"/>
      <c r="D24" s="38"/>
    </row>
    <row r="25" spans="1:4" ht="16.5" customHeight="1" x14ac:dyDescent="0.25">
      <c r="A25" s="33" t="s">
        <v>6</v>
      </c>
      <c r="B25" s="38">
        <f>(0.1076*9+0.1108*3)/12*5073.1</f>
        <v>549.92403999999999</v>
      </c>
      <c r="C25" s="38">
        <f>B25*12</f>
        <v>6599.0884800000003</v>
      </c>
      <c r="D25" s="38">
        <f>SUM(D26:D29)</f>
        <v>0</v>
      </c>
    </row>
    <row r="26" spans="1:4" ht="21.75" hidden="1" customHeight="1" x14ac:dyDescent="0.25">
      <c r="A26" s="40" t="s">
        <v>35</v>
      </c>
      <c r="B26" s="38">
        <f>(0.0283*9+0.0942*3)/12*B128</f>
        <v>0</v>
      </c>
      <c r="C26" s="38"/>
      <c r="D26" s="38"/>
    </row>
    <row r="27" spans="1:4" ht="21.75" hidden="1" customHeight="1" x14ac:dyDescent="0.25">
      <c r="A27" s="40" t="s">
        <v>36</v>
      </c>
      <c r="B27" s="38">
        <f>(0.0283*9+0.0942*3)/12*B129</f>
        <v>0</v>
      </c>
      <c r="C27" s="38"/>
      <c r="D27" s="38"/>
    </row>
    <row r="28" spans="1:4" ht="21.75" hidden="1" customHeight="1" x14ac:dyDescent="0.25">
      <c r="A28" s="40" t="s">
        <v>37</v>
      </c>
      <c r="B28" s="38">
        <f>(0.0283*9+0.0942*3)/12*B130</f>
        <v>0</v>
      </c>
      <c r="C28" s="38"/>
      <c r="D28" s="38"/>
    </row>
    <row r="29" spans="1:4" ht="21.75" hidden="1" customHeight="1" x14ac:dyDescent="0.25">
      <c r="A29" s="40" t="s">
        <v>0</v>
      </c>
      <c r="B29" s="38">
        <f>(0.0283*9+0.0942*3)/12*B131</f>
        <v>0</v>
      </c>
      <c r="C29" s="38"/>
      <c r="D29" s="38"/>
    </row>
    <row r="30" spans="1:4" ht="30" customHeight="1" x14ac:dyDescent="0.25">
      <c r="A30" s="33" t="s">
        <v>7</v>
      </c>
      <c r="B30" s="38">
        <f>(0.1945*9+0.4007*3)/12*5073.1</f>
        <v>1248.2362550000003</v>
      </c>
      <c r="C30" s="38">
        <f>B30*12</f>
        <v>14978.835060000003</v>
      </c>
      <c r="D30" s="38">
        <v>0</v>
      </c>
    </row>
    <row r="31" spans="1:4" ht="21.75" hidden="1" customHeight="1" x14ac:dyDescent="0.25">
      <c r="A31" s="40" t="s">
        <v>35</v>
      </c>
      <c r="B31" s="38"/>
      <c r="C31" s="38"/>
      <c r="D31" s="38"/>
    </row>
    <row r="32" spans="1:4" ht="21.75" hidden="1" customHeight="1" x14ac:dyDescent="0.25">
      <c r="A32" s="40" t="s">
        <v>36</v>
      </c>
      <c r="B32" s="38"/>
      <c r="C32" s="38"/>
      <c r="D32" s="38"/>
    </row>
    <row r="33" spans="1:4" ht="21.75" hidden="1" customHeight="1" x14ac:dyDescent="0.25">
      <c r="A33" s="40" t="s">
        <v>37</v>
      </c>
      <c r="B33" s="38"/>
      <c r="C33" s="38"/>
      <c r="D33" s="38"/>
    </row>
    <row r="34" spans="1:4" ht="21.75" hidden="1" customHeight="1" x14ac:dyDescent="0.25">
      <c r="A34" s="40" t="s">
        <v>0</v>
      </c>
      <c r="B34" s="38"/>
      <c r="C34" s="38"/>
      <c r="D34" s="38"/>
    </row>
    <row r="35" spans="1:4" ht="34.5" customHeight="1" x14ac:dyDescent="0.25">
      <c r="A35" s="31" t="s">
        <v>8</v>
      </c>
      <c r="B35" s="38">
        <f>B36+B41+B46+B51+B56+B58+B60+B62</f>
        <v>10772.981505</v>
      </c>
      <c r="C35" s="17">
        <f t="shared" ref="C35" si="1">C36+C41+C46+C51+C56+C58+C60+C62</f>
        <v>126889.39182</v>
      </c>
      <c r="D35" s="17">
        <f>D36+D41+D46+D51+D56+D58+D60+D62</f>
        <v>27407.510000000002</v>
      </c>
    </row>
    <row r="36" spans="1:4" ht="33" customHeight="1" x14ac:dyDescent="0.25">
      <c r="A36" s="33" t="s">
        <v>9</v>
      </c>
      <c r="B36" s="38">
        <f>(1.0225*9+1.7087*3)/12*B122</f>
        <v>6057.5350550000003</v>
      </c>
      <c r="C36" s="38">
        <f>B36*12</f>
        <v>72690.420660000003</v>
      </c>
      <c r="D36" s="38">
        <v>0</v>
      </c>
    </row>
    <row r="37" spans="1:4" ht="16.5" hidden="1" customHeight="1" x14ac:dyDescent="0.25">
      <c r="A37" s="40" t="s">
        <v>35</v>
      </c>
      <c r="B37" s="38"/>
      <c r="C37" s="38"/>
      <c r="D37" s="38"/>
    </row>
    <row r="38" spans="1:4" ht="16.5" hidden="1" customHeight="1" x14ac:dyDescent="0.25">
      <c r="A38" s="40" t="s">
        <v>36</v>
      </c>
      <c r="B38" s="38"/>
      <c r="C38" s="38"/>
      <c r="D38" s="38"/>
    </row>
    <row r="39" spans="1:4" ht="16.5" hidden="1" customHeight="1" x14ac:dyDescent="0.25">
      <c r="A39" s="40" t="s">
        <v>37</v>
      </c>
      <c r="B39" s="38"/>
      <c r="C39" s="38"/>
      <c r="D39" s="38"/>
    </row>
    <row r="40" spans="1:4" ht="16.5" hidden="1" customHeight="1" x14ac:dyDescent="0.25">
      <c r="A40" s="40" t="s">
        <v>0</v>
      </c>
      <c r="B40" s="38"/>
      <c r="C40" s="38"/>
      <c r="D40" s="38"/>
    </row>
    <row r="41" spans="1:4" ht="16.5" customHeight="1" x14ac:dyDescent="0.25">
      <c r="A41" s="33" t="s">
        <v>10</v>
      </c>
      <c r="B41" s="38">
        <f>(0.0179*9+0.9418*3)/12*5073.1</f>
        <v>1262.5677625000001</v>
      </c>
      <c r="C41" s="38">
        <f>B41*12</f>
        <v>15150.813150000002</v>
      </c>
      <c r="D41" s="38">
        <v>11493</v>
      </c>
    </row>
    <row r="42" spans="1:4" ht="16.5" hidden="1" customHeight="1" x14ac:dyDescent="0.25">
      <c r="A42" s="40" t="s">
        <v>35</v>
      </c>
      <c r="B42" s="38"/>
      <c r="C42" s="38"/>
      <c r="D42" s="38"/>
    </row>
    <row r="43" spans="1:4" ht="16.5" hidden="1" customHeight="1" x14ac:dyDescent="0.25">
      <c r="A43" s="40" t="s">
        <v>36</v>
      </c>
      <c r="B43" s="38"/>
      <c r="C43" s="38"/>
      <c r="D43" s="38"/>
    </row>
    <row r="44" spans="1:4" ht="16.5" hidden="1" customHeight="1" x14ac:dyDescent="0.25">
      <c r="A44" s="40" t="s">
        <v>37</v>
      </c>
      <c r="B44" s="38"/>
      <c r="C44" s="38"/>
      <c r="D44" s="38"/>
    </row>
    <row r="45" spans="1:4" ht="16.5" hidden="1" customHeight="1" x14ac:dyDescent="0.25">
      <c r="A45" s="40" t="s">
        <v>0</v>
      </c>
      <c r="B45" s="38"/>
      <c r="C45" s="38"/>
      <c r="D45" s="38"/>
    </row>
    <row r="46" spans="1:4" ht="16.5" customHeight="1" x14ac:dyDescent="0.25">
      <c r="A46" s="33" t="s">
        <v>11</v>
      </c>
      <c r="B46" s="38">
        <f>(0.3889*9+0.4007*3)/12*5073.1</f>
        <v>1987.8942350000002</v>
      </c>
      <c r="C46" s="38">
        <f>B46*12</f>
        <v>23854.730820000004</v>
      </c>
      <c r="D46" s="38">
        <v>336</v>
      </c>
    </row>
    <row r="47" spans="1:4" ht="16.5" hidden="1" customHeight="1" x14ac:dyDescent="0.25">
      <c r="A47" s="40" t="s">
        <v>35</v>
      </c>
      <c r="B47" s="38"/>
      <c r="C47" s="38"/>
      <c r="D47" s="38"/>
    </row>
    <row r="48" spans="1:4" ht="16.5" hidden="1" customHeight="1" x14ac:dyDescent="0.25">
      <c r="A48" s="40" t="s">
        <v>36</v>
      </c>
      <c r="B48" s="38"/>
      <c r="C48" s="38"/>
      <c r="D48" s="38"/>
    </row>
    <row r="49" spans="1:4" ht="16.5" hidden="1" customHeight="1" x14ac:dyDescent="0.25">
      <c r="A49" s="40" t="s">
        <v>37</v>
      </c>
      <c r="B49" s="38"/>
      <c r="C49" s="38"/>
      <c r="D49" s="38"/>
    </row>
    <row r="50" spans="1:4" ht="16.5" hidden="1" customHeight="1" x14ac:dyDescent="0.25">
      <c r="A50" s="40" t="s">
        <v>0</v>
      </c>
      <c r="B50" s="38"/>
      <c r="C50" s="38"/>
      <c r="D50" s="38"/>
    </row>
    <row r="51" spans="1:4" ht="16.5" customHeight="1" x14ac:dyDescent="0.25">
      <c r="A51" s="34" t="s">
        <v>12</v>
      </c>
      <c r="B51" s="38">
        <f>(0.0833*9+0.278*3)/12*5073.1</f>
        <v>669.52237250000007</v>
      </c>
      <c r="C51" s="38">
        <f>B51*12</f>
        <v>8034.2684700000009</v>
      </c>
      <c r="D51" s="38">
        <v>1137</v>
      </c>
    </row>
    <row r="52" spans="1:4" ht="16.5" hidden="1" customHeight="1" x14ac:dyDescent="0.25">
      <c r="A52" s="40" t="s">
        <v>70</v>
      </c>
      <c r="B52" s="38"/>
      <c r="C52" s="38"/>
      <c r="D52" s="38"/>
    </row>
    <row r="53" spans="1:4" ht="16.5" hidden="1" customHeight="1" x14ac:dyDescent="0.25">
      <c r="A53" s="40" t="s">
        <v>36</v>
      </c>
      <c r="B53" s="38"/>
      <c r="C53" s="38"/>
      <c r="D53" s="38"/>
    </row>
    <row r="54" spans="1:4" ht="16.5" hidden="1" customHeight="1" x14ac:dyDescent="0.25">
      <c r="A54" s="40" t="s">
        <v>37</v>
      </c>
      <c r="B54" s="38"/>
      <c r="C54" s="38"/>
      <c r="D54" s="38"/>
    </row>
    <row r="55" spans="1:4" ht="16.5" hidden="1" customHeight="1" x14ac:dyDescent="0.25">
      <c r="A55" s="40" t="s">
        <v>0</v>
      </c>
      <c r="B55" s="38"/>
      <c r="C55" s="38"/>
      <c r="D55" s="38"/>
    </row>
    <row r="56" spans="1:4" ht="33.75" customHeight="1" x14ac:dyDescent="0.25">
      <c r="A56" s="33" t="s">
        <v>13</v>
      </c>
      <c r="B56" s="38">
        <v>0</v>
      </c>
      <c r="C56" s="38">
        <f t="shared" ref="C56:C77" si="2">B56*12</f>
        <v>0</v>
      </c>
      <c r="D56" s="38">
        <f>D57</f>
        <v>0</v>
      </c>
    </row>
    <row r="57" spans="1:4" ht="16.5" hidden="1" customHeight="1" x14ac:dyDescent="0.25">
      <c r="A57" s="41" t="s">
        <v>76</v>
      </c>
      <c r="B57" s="38">
        <v>0</v>
      </c>
      <c r="C57" s="38"/>
      <c r="D57" s="38"/>
    </row>
    <row r="58" spans="1:4" ht="16.5" hidden="1" customHeight="1" x14ac:dyDescent="0.25">
      <c r="A58" s="33" t="s">
        <v>71</v>
      </c>
      <c r="B58" s="38">
        <v>0</v>
      </c>
      <c r="C58" s="38">
        <f t="shared" si="2"/>
        <v>0</v>
      </c>
      <c r="D58" s="38"/>
    </row>
    <row r="59" spans="1:4" ht="16.5" hidden="1" customHeight="1" x14ac:dyDescent="0.25">
      <c r="A59" s="41" t="s">
        <v>77</v>
      </c>
      <c r="B59" s="38"/>
      <c r="C59" s="38">
        <f t="shared" si="2"/>
        <v>0</v>
      </c>
      <c r="D59" s="38"/>
    </row>
    <row r="60" spans="1:4" ht="16.5" customHeight="1" x14ac:dyDescent="0.25">
      <c r="A60" s="33" t="s">
        <v>15</v>
      </c>
      <c r="B60" s="38">
        <f>(0.1568*5073.1)</f>
        <v>795.46208000000001</v>
      </c>
      <c r="C60" s="38">
        <f>B60*9</f>
        <v>7159.1587200000004</v>
      </c>
      <c r="D60" s="38">
        <v>2138.5100000000002</v>
      </c>
    </row>
    <row r="61" spans="1:4" ht="16.5" customHeight="1" x14ac:dyDescent="0.25">
      <c r="A61" s="41" t="s">
        <v>40</v>
      </c>
      <c r="B61" s="38"/>
      <c r="C61" s="38">
        <f t="shared" si="2"/>
        <v>0</v>
      </c>
      <c r="D61" s="38">
        <v>2138.5100000000002</v>
      </c>
    </row>
    <row r="62" spans="1:4" ht="16.5" customHeight="1" x14ac:dyDescent="0.25">
      <c r="A62" s="34" t="s">
        <v>16</v>
      </c>
      <c r="B62" s="38"/>
      <c r="C62" s="38">
        <f t="shared" si="2"/>
        <v>0</v>
      </c>
      <c r="D62" s="38">
        <f>D63</f>
        <v>12303</v>
      </c>
    </row>
    <row r="63" spans="1:4" ht="16.5" customHeight="1" x14ac:dyDescent="0.25">
      <c r="A63" s="42" t="s">
        <v>39</v>
      </c>
      <c r="B63" s="38"/>
      <c r="C63" s="38">
        <f t="shared" si="2"/>
        <v>0</v>
      </c>
      <c r="D63" s="38">
        <v>12303</v>
      </c>
    </row>
    <row r="64" spans="1:4" s="1" customFormat="1" ht="36.75" customHeight="1" x14ac:dyDescent="0.25">
      <c r="A64" s="34" t="s">
        <v>157</v>
      </c>
      <c r="B64" s="38">
        <f>0.9868*5073.1</f>
        <v>5006.13508</v>
      </c>
      <c r="C64" s="38">
        <v>60072</v>
      </c>
      <c r="D64" s="38"/>
    </row>
    <row r="65" spans="1:4" ht="21.75" customHeight="1" x14ac:dyDescent="0.25">
      <c r="A65" s="31" t="s">
        <v>17</v>
      </c>
      <c r="B65" s="38"/>
      <c r="C65" s="18">
        <f>C66+C67+C72+C77+C82+C84</f>
        <v>212262.05517000001</v>
      </c>
      <c r="D65" s="18">
        <f t="shared" ref="D65" si="3">D66+D67+D72+D77+D82+D84</f>
        <v>186280.67459000001</v>
      </c>
    </row>
    <row r="66" spans="1:4" ht="14.25" customHeight="1" x14ac:dyDescent="0.25">
      <c r="A66" s="33" t="s">
        <v>18</v>
      </c>
      <c r="B66" s="38">
        <v>0</v>
      </c>
      <c r="C66" s="38">
        <f t="shared" si="2"/>
        <v>0</v>
      </c>
      <c r="D66" s="38">
        <v>0</v>
      </c>
    </row>
    <row r="67" spans="1:4" ht="14.25" customHeight="1" x14ac:dyDescent="0.25">
      <c r="A67" s="33" t="s">
        <v>19</v>
      </c>
      <c r="B67" s="38">
        <f>(1.4605*9+1.9776*3)/12*5073.1</f>
        <v>8065.087552500001</v>
      </c>
      <c r="C67" s="38">
        <f>B67*12</f>
        <v>96781.050630000012</v>
      </c>
      <c r="D67" s="38">
        <f>C67</f>
        <v>96781.050630000012</v>
      </c>
    </row>
    <row r="68" spans="1:4" ht="14.25" hidden="1" customHeight="1" x14ac:dyDescent="0.25">
      <c r="A68" s="40" t="s">
        <v>144</v>
      </c>
      <c r="B68" s="38"/>
      <c r="C68" s="38">
        <f>B68*12</f>
        <v>0</v>
      </c>
      <c r="D68" s="38">
        <f>C68</f>
        <v>0</v>
      </c>
    </row>
    <row r="69" spans="1:4" ht="14.25" hidden="1" customHeight="1" x14ac:dyDescent="0.25">
      <c r="A69" s="40" t="s">
        <v>36</v>
      </c>
      <c r="B69" s="38"/>
      <c r="C69" s="38">
        <f t="shared" ref="C69:C70" si="4">B69*12</f>
        <v>0</v>
      </c>
      <c r="D69" s="38">
        <f>C69</f>
        <v>0</v>
      </c>
    </row>
    <row r="70" spans="1:4" ht="14.25" hidden="1" customHeight="1" x14ac:dyDescent="0.25">
      <c r="A70" s="40" t="s">
        <v>37</v>
      </c>
      <c r="B70" s="38"/>
      <c r="C70" s="38">
        <f t="shared" si="4"/>
        <v>0</v>
      </c>
      <c r="D70" s="38">
        <f>C70</f>
        <v>0</v>
      </c>
    </row>
    <row r="71" spans="1:4" ht="14.25" hidden="1" customHeight="1" x14ac:dyDescent="0.25">
      <c r="A71" s="40" t="s">
        <v>0</v>
      </c>
      <c r="B71" s="38"/>
      <c r="C71" s="38"/>
      <c r="D71" s="38"/>
    </row>
    <row r="72" spans="1:4" ht="14.25" customHeight="1" x14ac:dyDescent="0.25">
      <c r="A72" s="33" t="s">
        <v>20</v>
      </c>
      <c r="B72" s="38">
        <f>0.076*5073.1</f>
        <v>385.55560000000003</v>
      </c>
      <c r="C72" s="38">
        <f>B72*9</f>
        <v>3470.0004000000004</v>
      </c>
      <c r="D72" s="38">
        <f>C72</f>
        <v>3470.0004000000004</v>
      </c>
    </row>
    <row r="73" spans="1:4" ht="14.25" hidden="1" customHeight="1" x14ac:dyDescent="0.25">
      <c r="A73" s="41" t="s">
        <v>144</v>
      </c>
      <c r="B73" s="38"/>
      <c r="C73" s="38">
        <f t="shared" si="2"/>
        <v>0</v>
      </c>
      <c r="D73" s="38">
        <f>C73</f>
        <v>0</v>
      </c>
    </row>
    <row r="74" spans="1:4" ht="14.25" hidden="1" customHeight="1" x14ac:dyDescent="0.25">
      <c r="A74" s="41" t="s">
        <v>36</v>
      </c>
      <c r="B74" s="38"/>
      <c r="C74" s="38">
        <f t="shared" si="2"/>
        <v>0</v>
      </c>
      <c r="D74" s="38">
        <f>C74</f>
        <v>0</v>
      </c>
    </row>
    <row r="75" spans="1:4" ht="14.25" hidden="1" customHeight="1" x14ac:dyDescent="0.25">
      <c r="A75" s="41" t="s">
        <v>37</v>
      </c>
      <c r="B75" s="38"/>
      <c r="C75" s="38">
        <f t="shared" si="2"/>
        <v>0</v>
      </c>
      <c r="D75" s="38">
        <f>C75</f>
        <v>0</v>
      </c>
    </row>
    <row r="76" spans="1:4" ht="14.25" hidden="1" customHeight="1" x14ac:dyDescent="0.25">
      <c r="A76" s="41" t="s">
        <v>0</v>
      </c>
      <c r="B76" s="38"/>
      <c r="C76" s="38"/>
      <c r="D76" s="38"/>
    </row>
    <row r="77" spans="1:4" ht="14.25" customHeight="1" x14ac:dyDescent="0.25">
      <c r="A77" s="33" t="s">
        <v>21</v>
      </c>
      <c r="B77" s="38">
        <v>0</v>
      </c>
      <c r="C77" s="38">
        <f t="shared" si="2"/>
        <v>0</v>
      </c>
      <c r="D77" s="38">
        <f>SUM(D78:D81)</f>
        <v>0</v>
      </c>
    </row>
    <row r="78" spans="1:4" ht="14.25" hidden="1" customHeight="1" x14ac:dyDescent="0.25">
      <c r="A78" s="40" t="s">
        <v>147</v>
      </c>
      <c r="B78" s="38">
        <v>9.5699999999999993E-2</v>
      </c>
      <c r="C78" s="38">
        <f>B78*12</f>
        <v>1.1483999999999999</v>
      </c>
      <c r="D78" s="38"/>
    </row>
    <row r="79" spans="1:4" ht="14.25" hidden="1" customHeight="1" x14ac:dyDescent="0.25">
      <c r="A79" s="40" t="s">
        <v>36</v>
      </c>
      <c r="B79" s="38">
        <v>9.5699999999999993E-2</v>
      </c>
      <c r="C79" s="38">
        <f t="shared" ref="C79:C80" si="5">B79*12</f>
        <v>1.1483999999999999</v>
      </c>
      <c r="D79" s="38"/>
    </row>
    <row r="80" spans="1:4" ht="14.25" hidden="1" customHeight="1" x14ac:dyDescent="0.25">
      <c r="A80" s="40" t="s">
        <v>37</v>
      </c>
      <c r="B80" s="38">
        <v>9.5699999999999993E-2</v>
      </c>
      <c r="C80" s="38">
        <f t="shared" si="5"/>
        <v>1.1483999999999999</v>
      </c>
      <c r="D80" s="38"/>
    </row>
    <row r="81" spans="1:4" ht="14.25" hidden="1" customHeight="1" x14ac:dyDescent="0.25">
      <c r="A81" s="40" t="s">
        <v>0</v>
      </c>
      <c r="B81" s="38">
        <v>9.5699999999999993E-2</v>
      </c>
      <c r="C81" s="38"/>
      <c r="D81" s="38"/>
    </row>
    <row r="82" spans="1:4" ht="37.5" customHeight="1" x14ac:dyDescent="0.25">
      <c r="A82" s="33" t="s">
        <v>141</v>
      </c>
      <c r="B82" s="38">
        <f>(0.2103*9+1.2997*3)/12*5073.1</f>
        <v>2448.5317150000001</v>
      </c>
      <c r="C82" s="38">
        <f t="shared" ref="C82" si="6">B82*12</f>
        <v>29382.380580000001</v>
      </c>
      <c r="D82" s="38">
        <f>D83</f>
        <v>3401</v>
      </c>
    </row>
    <row r="83" spans="1:4" ht="14.25" customHeight="1" x14ac:dyDescent="0.25">
      <c r="A83" s="41" t="s">
        <v>39</v>
      </c>
      <c r="B83" s="38">
        <f>(0.2103*9+1.2997*3)/12*5073.1</f>
        <v>2448.5317150000001</v>
      </c>
      <c r="C83" s="38">
        <f t="shared" ref="C83:C84" si="7">B83*12</f>
        <v>29382.380580000001</v>
      </c>
      <c r="D83" s="38">
        <v>3401</v>
      </c>
    </row>
    <row r="84" spans="1:4" ht="14.25" customHeight="1" x14ac:dyDescent="0.25">
      <c r="A84" s="33" t="s">
        <v>23</v>
      </c>
      <c r="B84" s="38">
        <f>(1.4155*9+1.1827*3)/12*5073.1</f>
        <v>6885.7186300000012</v>
      </c>
      <c r="C84" s="38">
        <f t="shared" si="7"/>
        <v>82628.623560000007</v>
      </c>
      <c r="D84" s="38">
        <f>C84</f>
        <v>82628.623560000007</v>
      </c>
    </row>
    <row r="85" spans="1:4" ht="14.25" hidden="1" customHeight="1" x14ac:dyDescent="0.25">
      <c r="A85" s="40" t="s">
        <v>35</v>
      </c>
      <c r="B85" s="38">
        <v>9.5699999999999993E-2</v>
      </c>
      <c r="C85" s="38"/>
      <c r="D85" s="38"/>
    </row>
    <row r="86" spans="1:4" ht="14.25" hidden="1" customHeight="1" x14ac:dyDescent="0.25">
      <c r="A86" s="40" t="s">
        <v>36</v>
      </c>
      <c r="B86" s="38">
        <v>9.5699999999999993E-2</v>
      </c>
      <c r="C86" s="38"/>
      <c r="D86" s="38"/>
    </row>
    <row r="87" spans="1:4" ht="14.25" hidden="1" customHeight="1" x14ac:dyDescent="0.25">
      <c r="A87" s="40" t="s">
        <v>37</v>
      </c>
      <c r="B87" s="38">
        <v>9.5699999999999993E-2</v>
      </c>
      <c r="C87" s="38"/>
      <c r="D87" s="38"/>
    </row>
    <row r="88" spans="1:4" ht="14.25" hidden="1" customHeight="1" x14ac:dyDescent="0.25">
      <c r="A88" s="40" t="s">
        <v>0</v>
      </c>
      <c r="B88" s="38">
        <v>9.5699999999999993E-2</v>
      </c>
      <c r="C88" s="38"/>
      <c r="D88" s="38"/>
    </row>
    <row r="89" spans="1:4" ht="14.25" hidden="1" customHeight="1" x14ac:dyDescent="0.25">
      <c r="A89" s="31" t="s">
        <v>24</v>
      </c>
      <c r="B89" s="38">
        <v>9.5699999999999993E-2</v>
      </c>
      <c r="C89" s="17"/>
      <c r="D89" s="17"/>
    </row>
    <row r="90" spans="1:4" ht="30.75" customHeight="1" x14ac:dyDescent="0.25">
      <c r="A90" s="31" t="s">
        <v>72</v>
      </c>
      <c r="B90" s="38">
        <f>(4.4652*9+4.619*3)/12*5073.1</f>
        <v>22847.466815000003</v>
      </c>
      <c r="C90" s="38">
        <f t="shared" ref="C90" si="8">B90*12</f>
        <v>274169.60178000003</v>
      </c>
      <c r="D90" s="17">
        <f>C90</f>
        <v>274169.60178000003</v>
      </c>
    </row>
    <row r="91" spans="1:4" ht="14.25" hidden="1" customHeight="1" x14ac:dyDescent="0.25">
      <c r="A91" s="67" t="s">
        <v>66</v>
      </c>
      <c r="B91" s="38">
        <v>9.5699999999999993E-2</v>
      </c>
      <c r="C91" s="17"/>
      <c r="D91" s="17">
        <f>SUM(D92:D100)</f>
        <v>0</v>
      </c>
    </row>
    <row r="92" spans="1:4" ht="14.25" hidden="1" customHeight="1" x14ac:dyDescent="0.25">
      <c r="A92" s="69" t="s">
        <v>78</v>
      </c>
      <c r="B92" s="38">
        <v>9.5699999999999993E-2</v>
      </c>
      <c r="C92" s="17"/>
      <c r="D92" s="38">
        <f t="shared" ref="D92:D100" si="9">F92*$D$122*12</f>
        <v>0</v>
      </c>
    </row>
    <row r="93" spans="1:4" ht="14.25" hidden="1" customHeight="1" x14ac:dyDescent="0.25">
      <c r="A93" s="69" t="s">
        <v>36</v>
      </c>
      <c r="B93" s="38">
        <v>9.5699999999999993E-2</v>
      </c>
      <c r="C93" s="17"/>
      <c r="D93" s="38">
        <f t="shared" si="9"/>
        <v>0</v>
      </c>
    </row>
    <row r="94" spans="1:4" ht="14.25" hidden="1" customHeight="1" x14ac:dyDescent="0.25">
      <c r="A94" s="69" t="s">
        <v>49</v>
      </c>
      <c r="B94" s="38">
        <v>9.5699999999999993E-2</v>
      </c>
      <c r="C94" s="17"/>
      <c r="D94" s="38">
        <f t="shared" si="9"/>
        <v>0</v>
      </c>
    </row>
    <row r="95" spans="1:4" ht="14.25" hidden="1" customHeight="1" x14ac:dyDescent="0.25">
      <c r="A95" s="69" t="s">
        <v>50</v>
      </c>
      <c r="B95" s="38">
        <v>9.5699999999999993E-2</v>
      </c>
      <c r="C95" s="17"/>
      <c r="D95" s="38">
        <f t="shared" si="9"/>
        <v>0</v>
      </c>
    </row>
    <row r="96" spans="1:4" ht="14.25" hidden="1" customHeight="1" x14ac:dyDescent="0.25">
      <c r="A96" s="69" t="s">
        <v>86</v>
      </c>
      <c r="B96" s="38">
        <v>9.5699999999999993E-2</v>
      </c>
      <c r="C96" s="17"/>
      <c r="D96" s="38">
        <f t="shared" si="9"/>
        <v>0</v>
      </c>
    </row>
    <row r="97" spans="1:4" ht="14.25" hidden="1" customHeight="1" x14ac:dyDescent="0.25">
      <c r="A97" s="69" t="s">
        <v>51</v>
      </c>
      <c r="B97" s="38">
        <v>9.5699999999999993E-2</v>
      </c>
      <c r="C97" s="17"/>
      <c r="D97" s="38">
        <f t="shared" si="9"/>
        <v>0</v>
      </c>
    </row>
    <row r="98" spans="1:4" ht="14.25" hidden="1" customHeight="1" x14ac:dyDescent="0.25">
      <c r="A98" s="69" t="s">
        <v>52</v>
      </c>
      <c r="B98" s="38">
        <v>9.5699999999999993E-2</v>
      </c>
      <c r="C98" s="17"/>
      <c r="D98" s="38">
        <f t="shared" si="9"/>
        <v>0</v>
      </c>
    </row>
    <row r="99" spans="1:4" ht="14.25" hidden="1" customHeight="1" x14ac:dyDescent="0.25">
      <c r="A99" s="69" t="s">
        <v>53</v>
      </c>
      <c r="B99" s="38">
        <v>9.5699999999999993E-2</v>
      </c>
      <c r="C99" s="17"/>
      <c r="D99" s="38">
        <f t="shared" si="9"/>
        <v>0</v>
      </c>
    </row>
    <row r="100" spans="1:4" ht="14.25" hidden="1" customHeight="1" x14ac:dyDescent="0.25">
      <c r="A100" s="69" t="s">
        <v>0</v>
      </c>
      <c r="B100" s="38">
        <v>9.5699999999999993E-2</v>
      </c>
      <c r="C100" s="17"/>
      <c r="D100" s="38">
        <f t="shared" si="9"/>
        <v>0</v>
      </c>
    </row>
    <row r="101" spans="1:4" ht="14.25" hidden="1" customHeight="1" x14ac:dyDescent="0.25">
      <c r="A101" s="67" t="s">
        <v>67</v>
      </c>
      <c r="B101" s="38">
        <v>9.5699999999999993E-2</v>
      </c>
      <c r="C101" s="17"/>
      <c r="D101" s="17">
        <f>D102+D103+D104+D118+D119+D120+D116</f>
        <v>0</v>
      </c>
    </row>
    <row r="102" spans="1:4" ht="14.25" hidden="1" customHeight="1" x14ac:dyDescent="0.25">
      <c r="A102" s="112" t="s">
        <v>84</v>
      </c>
      <c r="B102" s="38">
        <v>9.5699999999999993E-2</v>
      </c>
      <c r="C102" s="17"/>
      <c r="D102" s="38">
        <f t="shared" ref="D102:D117" si="10">F102*$D$122*12</f>
        <v>0</v>
      </c>
    </row>
    <row r="103" spans="1:4" ht="14.25" hidden="1" customHeight="1" x14ac:dyDescent="0.25">
      <c r="A103" s="112" t="s">
        <v>36</v>
      </c>
      <c r="B103" s="38">
        <v>9.5699999999999993E-2</v>
      </c>
      <c r="C103" s="17"/>
      <c r="D103" s="38">
        <f t="shared" si="10"/>
        <v>0</v>
      </c>
    </row>
    <row r="104" spans="1:4" ht="14.25" hidden="1" customHeight="1" x14ac:dyDescent="0.25">
      <c r="A104" s="112" t="s">
        <v>54</v>
      </c>
      <c r="B104" s="38">
        <v>9.5699999999999993E-2</v>
      </c>
      <c r="C104" s="17"/>
      <c r="D104" s="38">
        <f t="shared" si="10"/>
        <v>0</v>
      </c>
    </row>
    <row r="105" spans="1:4" ht="14.25" hidden="1" customHeight="1" x14ac:dyDescent="0.25">
      <c r="A105" s="111" t="s">
        <v>55</v>
      </c>
      <c r="B105" s="38">
        <v>9.5699999999999993E-2</v>
      </c>
      <c r="C105" s="17"/>
      <c r="D105" s="38">
        <f t="shared" si="10"/>
        <v>0</v>
      </c>
    </row>
    <row r="106" spans="1:4" ht="14.25" hidden="1" customHeight="1" x14ac:dyDescent="0.25">
      <c r="A106" s="111" t="s">
        <v>56</v>
      </c>
      <c r="B106" s="38">
        <v>9.5699999999999993E-2</v>
      </c>
      <c r="C106" s="17"/>
      <c r="D106" s="38">
        <f t="shared" si="10"/>
        <v>0</v>
      </c>
    </row>
    <row r="107" spans="1:4" ht="14.25" hidden="1" customHeight="1" x14ac:dyDescent="0.25">
      <c r="A107" s="111" t="s">
        <v>57</v>
      </c>
      <c r="B107" s="38">
        <v>9.5699999999999993E-2</v>
      </c>
      <c r="C107" s="17"/>
      <c r="D107" s="38">
        <f t="shared" si="10"/>
        <v>0</v>
      </c>
    </row>
    <row r="108" spans="1:4" ht="14.25" hidden="1" customHeight="1" x14ac:dyDescent="0.25">
      <c r="A108" s="111" t="s">
        <v>58</v>
      </c>
      <c r="B108" s="38">
        <v>9.5699999999999993E-2</v>
      </c>
      <c r="C108" s="17"/>
      <c r="D108" s="38">
        <f t="shared" si="10"/>
        <v>0</v>
      </c>
    </row>
    <row r="109" spans="1:4" ht="14.25" hidden="1" customHeight="1" x14ac:dyDescent="0.25">
      <c r="A109" s="111" t="s">
        <v>59</v>
      </c>
      <c r="B109" s="38">
        <v>9.5699999999999993E-2</v>
      </c>
      <c r="C109" s="17"/>
      <c r="D109" s="38">
        <f t="shared" si="10"/>
        <v>0</v>
      </c>
    </row>
    <row r="110" spans="1:4" ht="14.25" hidden="1" customHeight="1" x14ac:dyDescent="0.25">
      <c r="A110" s="111" t="s">
        <v>87</v>
      </c>
      <c r="B110" s="38">
        <v>9.5699999999999993E-2</v>
      </c>
      <c r="C110" s="17"/>
      <c r="D110" s="38">
        <f t="shared" si="10"/>
        <v>0</v>
      </c>
    </row>
    <row r="111" spans="1:4" ht="14.25" hidden="1" customHeight="1" x14ac:dyDescent="0.25">
      <c r="A111" s="111" t="s">
        <v>60</v>
      </c>
      <c r="B111" s="38">
        <v>9.5699999999999993E-2</v>
      </c>
      <c r="C111" s="17"/>
      <c r="D111" s="38">
        <f t="shared" si="10"/>
        <v>0</v>
      </c>
    </row>
    <row r="112" spans="1:4" ht="14.25" hidden="1" customHeight="1" x14ac:dyDescent="0.25">
      <c r="A112" s="72" t="s">
        <v>61</v>
      </c>
      <c r="B112" s="38">
        <v>9.5699999999999993E-2</v>
      </c>
      <c r="C112" s="17"/>
      <c r="D112" s="38">
        <f t="shared" si="10"/>
        <v>0</v>
      </c>
    </row>
    <row r="113" spans="1:4" ht="14.25" hidden="1" customHeight="1" x14ac:dyDescent="0.25">
      <c r="A113" s="111" t="s">
        <v>62</v>
      </c>
      <c r="B113" s="38">
        <v>9.5699999999999993E-2</v>
      </c>
      <c r="C113" s="17"/>
      <c r="D113" s="38">
        <f t="shared" si="10"/>
        <v>0</v>
      </c>
    </row>
    <row r="114" spans="1:4" ht="14.25" hidden="1" customHeight="1" x14ac:dyDescent="0.25">
      <c r="A114" s="111" t="s">
        <v>63</v>
      </c>
      <c r="B114" s="38">
        <v>9.5699999999999993E-2</v>
      </c>
      <c r="C114" s="17"/>
      <c r="D114" s="38">
        <f t="shared" si="10"/>
        <v>0</v>
      </c>
    </row>
    <row r="115" spans="1:4" ht="14.25" hidden="1" customHeight="1" x14ac:dyDescent="0.25">
      <c r="A115" s="111" t="s">
        <v>83</v>
      </c>
      <c r="B115" s="38">
        <v>9.5699999999999993E-2</v>
      </c>
      <c r="C115" s="17"/>
      <c r="D115" s="38">
        <f t="shared" si="10"/>
        <v>0</v>
      </c>
    </row>
    <row r="116" spans="1:4" ht="14.25" hidden="1" customHeight="1" x14ac:dyDescent="0.25">
      <c r="A116" s="73" t="s">
        <v>88</v>
      </c>
      <c r="B116" s="38">
        <v>9.5699999999999993E-2</v>
      </c>
      <c r="C116" s="17"/>
      <c r="D116" s="38">
        <f t="shared" si="10"/>
        <v>0</v>
      </c>
    </row>
    <row r="117" spans="1:4" ht="14.25" hidden="1" customHeight="1" x14ac:dyDescent="0.25">
      <c r="A117" s="111" t="s">
        <v>89</v>
      </c>
      <c r="B117" s="38">
        <v>9.5699999999999993E-2</v>
      </c>
      <c r="C117" s="17"/>
      <c r="D117" s="38">
        <f t="shared" si="10"/>
        <v>0</v>
      </c>
    </row>
    <row r="118" spans="1:4" ht="14.25" hidden="1" customHeight="1" x14ac:dyDescent="0.25">
      <c r="A118" s="74" t="s">
        <v>90</v>
      </c>
      <c r="B118" s="38">
        <v>9.5699999999999993E-2</v>
      </c>
      <c r="C118" s="17"/>
      <c r="D118" s="38">
        <f>F118*$D$122*12</f>
        <v>0</v>
      </c>
    </row>
    <row r="119" spans="1:4" ht="14.25" hidden="1" customHeight="1" x14ac:dyDescent="0.25">
      <c r="A119" s="70" t="s">
        <v>64</v>
      </c>
      <c r="B119" s="38">
        <v>9.5699999999999993E-2</v>
      </c>
      <c r="C119" s="17"/>
      <c r="D119" s="38">
        <f>F119*$D$122*12</f>
        <v>0</v>
      </c>
    </row>
    <row r="120" spans="1:4" ht="14.25" hidden="1" customHeight="1" x14ac:dyDescent="0.25">
      <c r="A120" s="70" t="s">
        <v>65</v>
      </c>
      <c r="B120" s="38">
        <v>9.5699999999999993E-2</v>
      </c>
      <c r="C120" s="17"/>
      <c r="D120" s="38">
        <f>F120*$D$122*12</f>
        <v>0</v>
      </c>
    </row>
    <row r="121" spans="1:4" ht="14.25" customHeight="1" x14ac:dyDescent="0.25">
      <c r="A121" s="35" t="s">
        <v>34</v>
      </c>
      <c r="B121" s="38"/>
      <c r="C121" s="19">
        <f>C90+C89+C65+C35+C9</f>
        <v>650958.16914000001</v>
      </c>
      <c r="D121" s="19">
        <f>D90+D89+D65+D35+D9</f>
        <v>487857.78637000005</v>
      </c>
    </row>
    <row r="122" spans="1:4" ht="14.25" customHeight="1" x14ac:dyDescent="0.25">
      <c r="A122" s="31" t="s">
        <v>27</v>
      </c>
      <c r="B122" s="38">
        <v>5073.1000000000004</v>
      </c>
      <c r="C122" s="30">
        <f>тариф!B31</f>
        <v>5073.1000000000004</v>
      </c>
      <c r="D122" s="30"/>
    </row>
    <row r="123" spans="1:4" ht="14.25" hidden="1" customHeight="1" x14ac:dyDescent="0.25">
      <c r="A123" s="127" t="s">
        <v>38</v>
      </c>
      <c r="B123" s="44"/>
      <c r="C123" s="44"/>
      <c r="D123" s="44"/>
    </row>
    <row r="124" spans="1:4" ht="14.25" customHeight="1" thickBot="1" x14ac:dyDescent="0.3">
      <c r="A124" s="127" t="s">
        <v>154</v>
      </c>
      <c r="B124" s="44"/>
      <c r="C124" s="128"/>
      <c r="D124" s="129">
        <v>298175.99</v>
      </c>
    </row>
    <row r="125" spans="1:4" ht="14.25" customHeight="1" x14ac:dyDescent="0.25">
      <c r="A125" s="127" t="s">
        <v>155</v>
      </c>
      <c r="B125" s="44"/>
      <c r="C125" s="128"/>
      <c r="D125" s="17">
        <v>592287.61</v>
      </c>
    </row>
  </sheetData>
  <mergeCells count="6">
    <mergeCell ref="A1:D1"/>
    <mergeCell ref="A2:D2"/>
    <mergeCell ref="A3:D3"/>
    <mergeCell ref="B4:D4"/>
    <mergeCell ref="A5:A7"/>
    <mergeCell ref="B5:C5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калькуляция 2020</vt:lpstr>
      <vt:lpstr>калькуляция 2019</vt:lpstr>
      <vt:lpstr>тариф</vt:lpstr>
      <vt:lpstr>ТХ дома</vt:lpstr>
      <vt:lpstr>2021</vt:lpstr>
      <vt:lpstr>'калькуляция 2019'!Область_печати</vt:lpstr>
      <vt:lpstr>'калькуляция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2022-02-01T07:32:34Z</cp:lastPrinted>
  <dcterms:created xsi:type="dcterms:W3CDTF">2018-03-30T11:45:59Z</dcterms:created>
  <dcterms:modified xsi:type="dcterms:W3CDTF">2022-02-01T07:33:27Z</dcterms:modified>
</cp:coreProperties>
</file>